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FAU\"/>
    </mc:Choice>
  </mc:AlternateContent>
  <bookViews>
    <workbookView xWindow="0" yWindow="0" windowWidth="9600" windowHeight="2715" tabRatio="626"/>
  </bookViews>
  <sheets>
    <sheet name="Investment Allocation" sheetId="1" r:id="rId1"/>
    <sheet name="Variable Assumptions" sheetId="2" r:id="rId2"/>
    <sheet name="Integral" sheetId="4" r:id="rId3"/>
    <sheet name="Income" sheetId="5" r:id="rId4"/>
    <sheet name="Corporate Expenses" sheetId="6" r:id="rId5"/>
    <sheet name="Mining F. Expenses" sheetId="7" r:id="rId6"/>
    <sheet name="(not reading)" sheetId="3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5" l="1"/>
  <c r="D11" i="3" l="1"/>
  <c r="F93" i="1" l="1"/>
  <c r="H43" i="6"/>
  <c r="H41" i="6"/>
  <c r="H35" i="6"/>
  <c r="F23" i="6"/>
  <c r="D12" i="2" l="1"/>
  <c r="E12" i="2"/>
  <c r="F12" i="2"/>
  <c r="G12" i="2"/>
  <c r="H12" i="2"/>
  <c r="N12" i="4" l="1"/>
  <c r="I11" i="4"/>
  <c r="H11" i="4"/>
  <c r="H12" i="4" s="1"/>
  <c r="G11" i="4"/>
  <c r="F11" i="4"/>
  <c r="E11" i="4"/>
  <c r="E12" i="4" s="1"/>
  <c r="W19" i="7"/>
  <c r="L12" i="4"/>
  <c r="K12" i="4"/>
  <c r="J12" i="4"/>
  <c r="I12" i="4"/>
  <c r="G12" i="4"/>
  <c r="F12" i="4"/>
  <c r="D12" i="4"/>
  <c r="C12" i="4"/>
  <c r="F35" i="6"/>
  <c r="F43" i="6"/>
  <c r="F41" i="6"/>
  <c r="T41" i="6"/>
  <c r="T33" i="6"/>
  <c r="T31" i="6"/>
  <c r="T29" i="6"/>
  <c r="T27" i="6"/>
  <c r="T25" i="6"/>
  <c r="J43" i="6"/>
  <c r="L43" i="6" s="1"/>
  <c r="R41" i="6"/>
  <c r="P41" i="6"/>
  <c r="N41" i="6"/>
  <c r="L41" i="6"/>
  <c r="J41" i="6"/>
  <c r="F86" i="1"/>
  <c r="F78" i="1"/>
  <c r="F68" i="1"/>
  <c r="F40" i="1"/>
  <c r="T43" i="6" l="1"/>
  <c r="N43" i="6"/>
  <c r="AN48" i="3"/>
  <c r="M17" i="3"/>
  <c r="H5" i="4" l="1"/>
  <c r="L2" i="3" l="1"/>
  <c r="W2" i="3" l="1"/>
  <c r="X2" i="3" s="1"/>
  <c r="Y2" i="3" s="1"/>
  <c r="Z2" i="3" s="1"/>
  <c r="AA2" i="3" s="1"/>
  <c r="V2" i="3"/>
  <c r="U2" i="3"/>
  <c r="L5" i="4" l="1"/>
  <c r="P35" i="6"/>
  <c r="N35" i="6"/>
  <c r="L35" i="6"/>
  <c r="T35" i="6" s="1"/>
  <c r="J35" i="6"/>
  <c r="L85" i="1"/>
  <c r="I85" i="1"/>
  <c r="U18" i="7"/>
  <c r="K5" i="4"/>
  <c r="J5" i="4"/>
  <c r="H6" i="3"/>
  <c r="C9" i="5" l="1"/>
  <c r="H9" i="5" s="1"/>
  <c r="C8" i="5"/>
  <c r="G8" i="5" s="1"/>
  <c r="C7" i="5"/>
  <c r="F7" i="5" s="1"/>
  <c r="F12" i="5" s="1"/>
  <c r="E5" i="4" s="1"/>
  <c r="F25" i="5" l="1"/>
  <c r="F27" i="5" s="1"/>
  <c r="O4" i="3"/>
  <c r="O5" i="3" s="1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F37" i="6" l="1"/>
  <c r="F90" i="1"/>
  <c r="F92" i="1" s="1"/>
  <c r="F39" i="6" l="1"/>
  <c r="J39" i="6" s="1"/>
  <c r="R39" i="6" s="1"/>
  <c r="H37" i="6"/>
  <c r="P37" i="6" s="1"/>
  <c r="E6" i="4"/>
  <c r="L39" i="6" l="1"/>
  <c r="T39" i="6" s="1"/>
  <c r="L37" i="6"/>
  <c r="T37" i="6" s="1"/>
  <c r="N39" i="6"/>
  <c r="J37" i="6"/>
  <c r="R37" i="6" s="1"/>
  <c r="N37" i="6"/>
  <c r="H39" i="6"/>
  <c r="P39" i="6" s="1"/>
  <c r="I11" i="7" l="1"/>
  <c r="V18" i="7" l="1"/>
  <c r="M10" i="7" l="1"/>
  <c r="C20" i="5"/>
  <c r="D20" i="5" s="1"/>
  <c r="C19" i="5"/>
  <c r="D19" i="5" s="1"/>
  <c r="C18" i="5"/>
  <c r="D18" i="5" s="1"/>
  <c r="J4" i="3"/>
  <c r="J5" i="3" s="1"/>
  <c r="J6" i="3" s="1"/>
  <c r="J7" i="3" s="1"/>
  <c r="J8" i="3" s="1"/>
  <c r="J9" i="3" s="1"/>
  <c r="J10" i="3" s="1"/>
  <c r="J11" i="3" s="1"/>
  <c r="J12" i="3" s="1"/>
  <c r="D7" i="3"/>
  <c r="D8" i="3" s="1"/>
  <c r="D9" i="3" s="1"/>
  <c r="D10" i="3" s="1"/>
  <c r="H4" i="3"/>
  <c r="H5" i="3" s="1"/>
  <c r="H7" i="3" s="1"/>
  <c r="H8" i="3" s="1"/>
  <c r="H9" i="3" s="1"/>
  <c r="H10" i="3" s="1"/>
  <c r="H11" i="3" s="1"/>
  <c r="H12" i="3" s="1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C5" i="3"/>
  <c r="C6" i="3" s="1"/>
  <c r="C7" i="3" s="1"/>
  <c r="C8" i="3" s="1"/>
  <c r="C4" i="3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L89" i="1"/>
  <c r="L87" i="1"/>
  <c r="L83" i="1"/>
  <c r="L81" i="1"/>
  <c r="L79" i="1"/>
  <c r="L86" i="1" s="1"/>
  <c r="L67" i="1"/>
  <c r="L65" i="1"/>
  <c r="L77" i="1"/>
  <c r="L75" i="1"/>
  <c r="L73" i="1"/>
  <c r="L71" i="1"/>
  <c r="L69" i="1"/>
  <c r="L63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I89" i="1"/>
  <c r="I87" i="1"/>
  <c r="I83" i="1"/>
  <c r="I81" i="1"/>
  <c r="I79" i="1"/>
  <c r="I67" i="1"/>
  <c r="I65" i="1"/>
  <c r="I77" i="1"/>
  <c r="F33" i="6" s="1"/>
  <c r="I75" i="1"/>
  <c r="F31" i="6" s="1"/>
  <c r="N31" i="6" s="1"/>
  <c r="I73" i="1"/>
  <c r="F29" i="6" s="1"/>
  <c r="I71" i="1"/>
  <c r="F27" i="6" s="1"/>
  <c r="P27" i="6" s="1"/>
  <c r="I69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F21" i="6" s="1"/>
  <c r="N21" i="6" s="1"/>
  <c r="I31" i="1"/>
  <c r="F19" i="6" s="1"/>
  <c r="J19" i="6" s="1"/>
  <c r="R19" i="6" s="1"/>
  <c r="I29" i="1"/>
  <c r="F17" i="6" s="1"/>
  <c r="H17" i="6" s="1"/>
  <c r="P17" i="6" s="1"/>
  <c r="I27" i="1"/>
  <c r="F15" i="6" s="1"/>
  <c r="H15" i="6" s="1"/>
  <c r="P15" i="6" s="1"/>
  <c r="I25" i="1"/>
  <c r="F13" i="6" s="1"/>
  <c r="N13" i="6" s="1"/>
  <c r="I23" i="1"/>
  <c r="F11" i="6" s="1"/>
  <c r="J11" i="6" s="1"/>
  <c r="R11" i="6" s="1"/>
  <c r="I21" i="1"/>
  <c r="F9" i="6" s="1"/>
  <c r="I19" i="1"/>
  <c r="H18" i="5" l="1"/>
  <c r="J18" i="5" s="1"/>
  <c r="L78" i="1"/>
  <c r="L40" i="1"/>
  <c r="F7" i="6"/>
  <c r="J7" i="6" s="1"/>
  <c r="R7" i="6" s="1"/>
  <c r="I40" i="1"/>
  <c r="L68" i="1"/>
  <c r="I86" i="1"/>
  <c r="F25" i="6"/>
  <c r="N25" i="6" s="1"/>
  <c r="I78" i="1"/>
  <c r="I68" i="1"/>
  <c r="G8" i="7"/>
  <c r="K8" i="7" s="1"/>
  <c r="N8" i="7" s="1"/>
  <c r="O8" i="7" s="1"/>
  <c r="G9" i="7"/>
  <c r="L9" i="7" s="1"/>
  <c r="J20" i="5"/>
  <c r="M20" i="5" s="1"/>
  <c r="H23" i="6"/>
  <c r="P23" i="6" s="1"/>
  <c r="G7" i="7"/>
  <c r="J7" i="7" s="1"/>
  <c r="J11" i="7" s="1"/>
  <c r="G16" i="4" s="1"/>
  <c r="I90" i="1"/>
  <c r="I92" i="1" s="1"/>
  <c r="L90" i="1"/>
  <c r="L92" i="1" s="1"/>
  <c r="R43" i="6"/>
  <c r="H9" i="6"/>
  <c r="P9" i="6" s="1"/>
  <c r="L9" i="6"/>
  <c r="T9" i="6" s="1"/>
  <c r="P43" i="6"/>
  <c r="L15" i="6"/>
  <c r="T15" i="6" s="1"/>
  <c r="N15" i="6"/>
  <c r="P29" i="6"/>
  <c r="N33" i="6"/>
  <c r="J13" i="6"/>
  <c r="R13" i="6" s="1"/>
  <c r="J31" i="6"/>
  <c r="R31" i="6" s="1"/>
  <c r="J21" i="6"/>
  <c r="R21" i="6" s="1"/>
  <c r="N9" i="6"/>
  <c r="N29" i="6"/>
  <c r="H19" i="6"/>
  <c r="P19" i="6" s="1"/>
  <c r="H7" i="6"/>
  <c r="H13" i="6"/>
  <c r="P13" i="6" s="1"/>
  <c r="H21" i="6"/>
  <c r="P21" i="6" s="1"/>
  <c r="J9" i="6"/>
  <c r="R9" i="6" s="1"/>
  <c r="J15" i="6"/>
  <c r="R15" i="6" s="1"/>
  <c r="L17" i="6"/>
  <c r="T17" i="6" s="1"/>
  <c r="N17" i="6"/>
  <c r="P31" i="6"/>
  <c r="J25" i="6"/>
  <c r="R25" i="6" s="1"/>
  <c r="J33" i="6"/>
  <c r="R33" i="6" s="1"/>
  <c r="J17" i="6"/>
  <c r="R17" i="6" s="1"/>
  <c r="L11" i="6"/>
  <c r="T11" i="6" s="1"/>
  <c r="L19" i="6"/>
  <c r="T19" i="6" s="1"/>
  <c r="N11" i="6"/>
  <c r="N19" i="6"/>
  <c r="P25" i="6"/>
  <c r="P33" i="6"/>
  <c r="J27" i="6"/>
  <c r="R27" i="6" s="1"/>
  <c r="N27" i="6"/>
  <c r="H11" i="6"/>
  <c r="P11" i="6" s="1"/>
  <c r="L7" i="6"/>
  <c r="T7" i="6" s="1"/>
  <c r="L13" i="6"/>
  <c r="T13" i="6" s="1"/>
  <c r="L21" i="6"/>
  <c r="T21" i="6" s="1"/>
  <c r="N7" i="6"/>
  <c r="J29" i="6"/>
  <c r="R29" i="6" s="1"/>
  <c r="G12" i="5"/>
  <c r="F5" i="4" s="1"/>
  <c r="I12" i="5"/>
  <c r="J12" i="5"/>
  <c r="I19" i="5"/>
  <c r="D15" i="4" l="1"/>
  <c r="C15" i="4"/>
  <c r="P7" i="6"/>
  <c r="P45" i="6" s="1"/>
  <c r="J15" i="4" s="1"/>
  <c r="H45" i="6"/>
  <c r="F15" i="4" s="1"/>
  <c r="F17" i="4" s="1"/>
  <c r="H22" i="5"/>
  <c r="H23" i="5"/>
  <c r="G6" i="4" s="1"/>
  <c r="M8" i="7"/>
  <c r="L8" i="7"/>
  <c r="G25" i="5"/>
  <c r="G27" i="5" s="1"/>
  <c r="M9" i="7"/>
  <c r="O9" i="7"/>
  <c r="N9" i="7"/>
  <c r="L23" i="6"/>
  <c r="J23" i="6"/>
  <c r="R23" i="6" s="1"/>
  <c r="N23" i="6"/>
  <c r="F45" i="6"/>
  <c r="E15" i="4" s="1"/>
  <c r="E17" i="4" s="1"/>
  <c r="R35" i="6"/>
  <c r="K20" i="5"/>
  <c r="L20" i="5"/>
  <c r="L19" i="5"/>
  <c r="M19" i="5" s="1"/>
  <c r="J19" i="5"/>
  <c r="K19" i="5"/>
  <c r="K7" i="7"/>
  <c r="K11" i="7" s="1"/>
  <c r="H16" i="4" s="1"/>
  <c r="M7" i="7"/>
  <c r="L7" i="7"/>
  <c r="K18" i="5"/>
  <c r="E7" i="4"/>
  <c r="H12" i="5"/>
  <c r="G5" i="4" s="1"/>
  <c r="N5" i="4" s="1"/>
  <c r="K12" i="5"/>
  <c r="I5" i="4" s="1"/>
  <c r="D17" i="4"/>
  <c r="D20" i="4" s="1"/>
  <c r="E20" i="4" l="1"/>
  <c r="L45" i="6"/>
  <c r="H15" i="4" s="1"/>
  <c r="H17" i="4" s="1"/>
  <c r="T23" i="6"/>
  <c r="T45" i="6" s="1"/>
  <c r="L15" i="4" s="1"/>
  <c r="L11" i="7"/>
  <c r="I16" i="4" s="1"/>
  <c r="J22" i="5"/>
  <c r="I23" i="5"/>
  <c r="I22" i="5"/>
  <c r="H25" i="5"/>
  <c r="H27" i="5" s="1"/>
  <c r="O12" i="5"/>
  <c r="L18" i="5"/>
  <c r="L23" i="5" s="1"/>
  <c r="K6" i="4" s="1"/>
  <c r="K7" i="4" s="1"/>
  <c r="K23" i="5"/>
  <c r="K22" i="5"/>
  <c r="M11" i="7"/>
  <c r="N7" i="7"/>
  <c r="N45" i="6"/>
  <c r="I15" i="4" s="1"/>
  <c r="C17" i="4"/>
  <c r="C20" i="4" s="1"/>
  <c r="F7" i="4"/>
  <c r="X17" i="4" s="1"/>
  <c r="J23" i="5"/>
  <c r="I6" i="4" s="1"/>
  <c r="T3" i="3"/>
  <c r="J45" i="6"/>
  <c r="G15" i="4" s="1"/>
  <c r="R45" i="6"/>
  <c r="K15" i="4" s="1"/>
  <c r="N15" i="4" l="1"/>
  <c r="F20" i="4"/>
  <c r="Q11" i="7"/>
  <c r="J16" i="4"/>
  <c r="J17" i="4" s="1"/>
  <c r="J6" i="4"/>
  <c r="J7" i="4" s="1"/>
  <c r="Y3" i="3" s="1"/>
  <c r="I25" i="5"/>
  <c r="I27" i="5" s="1"/>
  <c r="H6" i="4"/>
  <c r="I7" i="4"/>
  <c r="J25" i="5"/>
  <c r="V12" i="4"/>
  <c r="T5" i="3" s="1"/>
  <c r="V17" i="4"/>
  <c r="T6" i="3" s="1"/>
  <c r="U3" i="3"/>
  <c r="X12" i="4"/>
  <c r="U5" i="3" s="1"/>
  <c r="I17" i="4"/>
  <c r="L25" i="5"/>
  <c r="O7" i="7"/>
  <c r="O11" i="7" s="1"/>
  <c r="L16" i="4" s="1"/>
  <c r="L17" i="4" s="1"/>
  <c r="N11" i="7"/>
  <c r="G7" i="4"/>
  <c r="M18" i="5"/>
  <c r="L22" i="5"/>
  <c r="G17" i="4"/>
  <c r="K25" i="5"/>
  <c r="X20" i="4"/>
  <c r="U7" i="3" s="1"/>
  <c r="U6" i="3"/>
  <c r="AF12" i="4" l="1"/>
  <c r="Y5" i="3" s="1"/>
  <c r="K16" i="4"/>
  <c r="N16" i="4" s="1"/>
  <c r="N17" i="4" s="1"/>
  <c r="X3" i="3"/>
  <c r="AD12" i="4"/>
  <c r="Z12" i="4"/>
  <c r="Z17" i="4"/>
  <c r="V6" i="3" s="1"/>
  <c r="AD17" i="4"/>
  <c r="X6" i="3" s="1"/>
  <c r="J27" i="5"/>
  <c r="I20" i="4"/>
  <c r="AD20" i="4" s="1"/>
  <c r="X7" i="3" s="1"/>
  <c r="V20" i="4"/>
  <c r="T7" i="3" s="1"/>
  <c r="AH12" i="4"/>
  <c r="Z5" i="3" s="1"/>
  <c r="Z3" i="3"/>
  <c r="G20" i="4"/>
  <c r="Z20" i="4" s="1"/>
  <c r="V7" i="3" s="1"/>
  <c r="M22" i="5"/>
  <c r="M23" i="5"/>
  <c r="V3" i="3"/>
  <c r="V5" i="3"/>
  <c r="H7" i="4"/>
  <c r="K17" i="4" l="1"/>
  <c r="O23" i="5"/>
  <c r="O25" i="5" s="1"/>
  <c r="L6" i="4"/>
  <c r="AB17" i="4"/>
  <c r="W6" i="3" s="1"/>
  <c r="K27" i="5"/>
  <c r="L27" i="5" s="1"/>
  <c r="AB12" i="4"/>
  <c r="W5" i="3" s="1"/>
  <c r="M25" i="5"/>
  <c r="H20" i="4"/>
  <c r="AB20" i="4" s="1"/>
  <c r="W7" i="3" s="1"/>
  <c r="W3" i="3"/>
  <c r="N6" i="4" l="1"/>
  <c r="N7" i="4" s="1"/>
  <c r="N20" i="4" s="1"/>
  <c r="K20" i="4"/>
  <c r="AH20" i="4" s="1"/>
  <c r="Z7" i="3" s="1"/>
  <c r="AH17" i="4"/>
  <c r="Z6" i="3" s="1"/>
  <c r="M27" i="5"/>
  <c r="J20" i="4"/>
  <c r="AF20" i="4" s="1"/>
  <c r="Y7" i="3" s="1"/>
  <c r="AF17" i="4"/>
  <c r="Y6" i="3" s="1"/>
  <c r="L7" i="4"/>
  <c r="AA3" i="3" l="1"/>
  <c r="L20" i="4"/>
  <c r="AJ20" i="4" s="1"/>
  <c r="AA7" i="3" s="1"/>
  <c r="AJ17" i="4"/>
  <c r="AA6" i="3" s="1"/>
  <c r="AJ12" i="4"/>
  <c r="AA5" i="3" s="1"/>
  <c r="X5" i="3"/>
  <c r="AL12" i="4" l="1"/>
  <c r="AL17" i="4"/>
  <c r="AL20" i="4"/>
  <c r="F94" i="1"/>
  <c r="C5" i="1" s="1"/>
  <c r="C11" i="1" l="1"/>
  <c r="C12" i="1"/>
  <c r="C15" i="1"/>
  <c r="C7" i="1"/>
  <c r="C6" i="1"/>
</calcChain>
</file>

<file path=xl/comments1.xml><?xml version="1.0" encoding="utf-8"?>
<comments xmlns="http://schemas.openxmlformats.org/spreadsheetml/2006/main">
  <authors>
    <author>pablo cesar vazquez estrella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</rPr>
          <t>pablo cesar vazquez estrella:</t>
        </r>
        <r>
          <rPr>
            <sz val="9"/>
            <color indexed="81"/>
            <rFont val="Tahoma"/>
            <family val="2"/>
          </rPr>
          <t xml:space="preserve">
Start infrastructure Farm 1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pablo cesar vazquez estrella:</t>
        </r>
        <r>
          <rPr>
            <sz val="9"/>
            <color indexed="81"/>
            <rFont val="Tahoma"/>
            <family val="2"/>
          </rPr>
          <t xml:space="preserve">
Start infrastructure Farm 2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pablo cesar vazquez estrella:</t>
        </r>
        <r>
          <rPr>
            <sz val="9"/>
            <color indexed="81"/>
            <rFont val="Tahoma"/>
            <family val="2"/>
          </rPr>
          <t xml:space="preserve">
Start infrastructure Farm 3. 
Farm 1 operates 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pablo cesar vazquez estrella:</t>
        </r>
        <r>
          <rPr>
            <sz val="9"/>
            <color indexed="81"/>
            <rFont val="Tahoma"/>
            <family val="2"/>
          </rPr>
          <t xml:space="preserve">
Start infrastructure Farm 4. 
Farm 2 operates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pablo cesar vazquez estrella:</t>
        </r>
        <r>
          <rPr>
            <sz val="9"/>
            <color indexed="81"/>
            <rFont val="Tahoma"/>
            <family val="2"/>
          </rPr>
          <t xml:space="preserve">
Start infrastructure Farm 5. 
Farm 3 operates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pablo cesar vazquez estrella:</t>
        </r>
        <r>
          <rPr>
            <sz val="9"/>
            <color indexed="81"/>
            <rFont val="Tahoma"/>
            <family val="2"/>
          </rPr>
          <t xml:space="preserve"> 
Farm 4 operates</t>
        </r>
      </text>
    </comment>
    <comment ref="L17" authorId="0" shapeId="0">
      <text>
        <r>
          <rPr>
            <b/>
            <sz val="9"/>
            <color indexed="81"/>
            <rFont val="Tahoma"/>
            <charset val="1"/>
          </rPr>
          <t>pablo cesar vazquez estrella:</t>
        </r>
        <r>
          <rPr>
            <sz val="9"/>
            <color indexed="81"/>
            <rFont val="Tahoma"/>
            <charset val="1"/>
          </rPr>
          <t xml:space="preserve"> 
Farm 5 operates
(Last One)</t>
        </r>
      </text>
    </comment>
  </commentList>
</comments>
</file>

<file path=xl/sharedStrings.xml><?xml version="1.0" encoding="utf-8"?>
<sst xmlns="http://schemas.openxmlformats.org/spreadsheetml/2006/main" count="423" uniqueCount="202">
  <si>
    <t>ASIC Engineers</t>
  </si>
  <si>
    <t>Senior ASIC Physical Design Engineer (Senior Staff Engineer)</t>
  </si>
  <si>
    <t>RTL to Pre-Silicon Design Engineers (2)</t>
  </si>
  <si>
    <t>FPGA/Verification Engineers (2)</t>
  </si>
  <si>
    <t>Senior CAD Flow Engineer</t>
  </si>
  <si>
    <t>Script &amp; Lab Building Engineer</t>
  </si>
  <si>
    <t>Core Team</t>
  </si>
  <si>
    <t>Lead Architect, Project Manager and CEO</t>
  </si>
  <si>
    <t>Fiscal, Legal and Internal Administration (6-8)</t>
  </si>
  <si>
    <t>Tools &amp; Resources</t>
  </si>
  <si>
    <t>Workstations</t>
  </si>
  <si>
    <t>Main Server</t>
  </si>
  <si>
    <t>Team 1 Workstation (WS 1)</t>
  </si>
  <si>
    <t>Team 2 Workstation (WS 2)</t>
  </si>
  <si>
    <t>Sr. Staff Engineer Workstation (WS 3)</t>
  </si>
  <si>
    <t>Remote Workstations for Sr. Engineers (4)</t>
  </si>
  <si>
    <t>Hardware</t>
  </si>
  <si>
    <t>FPGA Kit - Virtex 7 (2)</t>
  </si>
  <si>
    <t>FPGA Kit - Alveo U55C</t>
  </si>
  <si>
    <t>FPGA Kit - Alveo V80</t>
  </si>
  <si>
    <t>Lab Instrumentation - Keysight InniiVision 3000X Oscilloscope</t>
  </si>
  <si>
    <t>Lab Instrumentation - Saleae Logic Analyzer</t>
  </si>
  <si>
    <t>Lab Instrumentation - DAQ system</t>
  </si>
  <si>
    <t>Lab Instrumentation - Physical Circuit Board Fabrication/Testing Equipment</t>
  </si>
  <si>
    <t>Licensed EDA Software</t>
  </si>
  <si>
    <t>Vivado Design Suite</t>
  </si>
  <si>
    <t>Cadence Design Suite</t>
  </si>
  <si>
    <t>Synopsys Design Compiler and VCS</t>
  </si>
  <si>
    <t>Siemens Veloce</t>
  </si>
  <si>
    <t>Ansys Red Hawk</t>
  </si>
  <si>
    <t>Three (3) Conferences</t>
  </si>
  <si>
    <t>Basic marketing on the internet and networks</t>
  </si>
  <si>
    <t>Two (2) Publications</t>
  </si>
  <si>
    <t>University of Guadalajara</t>
  </si>
  <si>
    <t>Office</t>
  </si>
  <si>
    <t>Workspace rent</t>
  </si>
  <si>
    <t>Human resources</t>
  </si>
  <si>
    <t>Work force</t>
  </si>
  <si>
    <t>Performance bonus package for Engineers</t>
  </si>
  <si>
    <t>24 Months</t>
  </si>
  <si>
    <t>Category</t>
  </si>
  <si>
    <t>Subcategory</t>
  </si>
  <si>
    <t>Roll / detail</t>
  </si>
  <si>
    <t xml:space="preserve"> Contingency fund</t>
  </si>
  <si>
    <t>Year 1</t>
  </si>
  <si>
    <t>Year 2</t>
  </si>
  <si>
    <t>T&amp;E Efficiency Increase:</t>
  </si>
  <si>
    <t>License positioning:</t>
  </si>
  <si>
    <t>ASICs Average Annual Production per Customer:</t>
  </si>
  <si>
    <t>ASICs Percentage obtained from manufacturing:</t>
  </si>
  <si>
    <t>Annualized license price:</t>
  </si>
  <si>
    <t>Minimum license duration (Years):</t>
  </si>
  <si>
    <t>INVESTMENT</t>
  </si>
  <si>
    <t>SUBTOTAL:</t>
  </si>
  <si>
    <t>TOTAL:</t>
  </si>
  <si>
    <t>Year 3</t>
  </si>
  <si>
    <t>Year 4</t>
  </si>
  <si>
    <t>Year 5</t>
  </si>
  <si>
    <t xml:space="preserve">Licenses Placed per Year (Costumers): </t>
  </si>
  <si>
    <t>buy back factor</t>
  </si>
  <si>
    <t>Obtaned ASICs</t>
  </si>
  <si>
    <t>License Renewal</t>
  </si>
  <si>
    <t>YES</t>
  </si>
  <si>
    <t>NO</t>
  </si>
  <si>
    <t>T&amp;E factor :</t>
  </si>
  <si>
    <t>Income</t>
  </si>
  <si>
    <t>Commercial Department</t>
  </si>
  <si>
    <t>Marketing Agency</t>
  </si>
  <si>
    <t>Mining Farm Expenses</t>
  </si>
  <si>
    <t>Concept</t>
  </si>
  <si>
    <t>Comment</t>
  </si>
  <si>
    <t xml:space="preserve">YEAR 1 </t>
  </si>
  <si>
    <t xml:space="preserve">YEAR 2 </t>
  </si>
  <si>
    <t xml:space="preserve">YEAR 3 </t>
  </si>
  <si>
    <t xml:space="preserve">YEAR 4 </t>
  </si>
  <si>
    <t xml:space="preserve">YEAR 5 </t>
  </si>
  <si>
    <t>INCOME</t>
  </si>
  <si>
    <t>Technology Licensing</t>
  </si>
  <si>
    <t>Mining Farm</t>
  </si>
  <si>
    <t>OPERATING EXPENSES</t>
  </si>
  <si>
    <t xml:space="preserve">Corporate Expenses </t>
  </si>
  <si>
    <t xml:space="preserve">TOTAL INCOME : </t>
  </si>
  <si>
    <t xml:space="preserve">TOTAL COST : </t>
  </si>
  <si>
    <t xml:space="preserve">TOTAL OPERATING EXPENSES : </t>
  </si>
  <si>
    <t xml:space="preserve">EBITDA : </t>
  </si>
  <si>
    <t>TOTAL</t>
  </si>
  <si>
    <t xml:space="preserve">INCOME </t>
  </si>
  <si>
    <t xml:space="preserve">YEAR 6 </t>
  </si>
  <si>
    <t xml:space="preserve">YEAR 7 </t>
  </si>
  <si>
    <t>Year 6</t>
  </si>
  <si>
    <t>Year 7</t>
  </si>
  <si>
    <t>TYPES OF COSTS</t>
  </si>
  <si>
    <t xml:space="preserve">EBITDA </t>
  </si>
  <si>
    <t>CFO &amp; Back up</t>
  </si>
  <si>
    <t>100% Allocated Resources</t>
  </si>
  <si>
    <t>Basic Office Equipment</t>
  </si>
  <si>
    <t>Architect, Project Manager and CEO</t>
  </si>
  <si>
    <t xml:space="preserve">                      VARIABLE ASSUMPTIONS FOR : Next-Generation Mining ASIC</t>
  </si>
  <si>
    <t xml:space="preserve">                     CORPORATE EXPENSES FOR : Next-Generation Mining ASIC</t>
  </si>
  <si>
    <t>YEAR 3</t>
  </si>
  <si>
    <t>YEAR 4</t>
  </si>
  <si>
    <t>YEAR 5</t>
  </si>
  <si>
    <t>YEAR 6</t>
  </si>
  <si>
    <t>YEAR 7</t>
  </si>
  <si>
    <t xml:space="preserve">                     MINING FARM EXPENSES : Next-Generation Mining ASIC</t>
  </si>
  <si>
    <t xml:space="preserve">                      INVESTMENT ALLOCATION FOR : Next-Generation Mining ASIC</t>
  </si>
  <si>
    <t xml:space="preserve">AÑO 1 </t>
  </si>
  <si>
    <t>AÑO 2</t>
  </si>
  <si>
    <t>AÑO 3</t>
  </si>
  <si>
    <t>AÑO 4</t>
  </si>
  <si>
    <t>AÑO 5</t>
  </si>
  <si>
    <t>AÑO 6</t>
  </si>
  <si>
    <t>AÑO 7</t>
  </si>
  <si>
    <t>Types of Costs</t>
  </si>
  <si>
    <t>Operating Expenses</t>
  </si>
  <si>
    <t>EBITDA</t>
  </si>
  <si>
    <t>Year 8</t>
  </si>
  <si>
    <t>Year 9</t>
  </si>
  <si>
    <t>Year 10</t>
  </si>
  <si>
    <t>Accumulated Income :</t>
  </si>
  <si>
    <t xml:space="preserve"> </t>
  </si>
  <si>
    <t>Placement Agency</t>
  </si>
  <si>
    <t>MKT Agency</t>
  </si>
  <si>
    <t>Open door with customers</t>
  </si>
  <si>
    <t xml:space="preserve"> Contingency fund + 20%</t>
  </si>
  <si>
    <t xml:space="preserve">YEAR 8 </t>
  </si>
  <si>
    <t xml:space="preserve">YEAR 9 </t>
  </si>
  <si>
    <t xml:space="preserve">YEAR 10 </t>
  </si>
  <si>
    <t>YEAR 9</t>
  </si>
  <si>
    <t xml:space="preserve">AÑO: </t>
  </si>
  <si>
    <t xml:space="preserve">EBITDA  </t>
  </si>
  <si>
    <t>1) Substation / Transformers / MV Switchgear</t>
  </si>
  <si>
    <t>2) Cooling Systems (Chillers/CRAC or Immersion Infrastructure)</t>
  </si>
  <si>
    <t>3) Civil Works / Building / Physical Infrastructure</t>
  </si>
  <si>
    <t>4) Racks and Mounting (≈153 racks)</t>
  </si>
  <si>
    <t>5) PDUs and Distribution Units</t>
  </si>
  <si>
    <t>6) Network / Networking / NOC</t>
  </si>
  <si>
    <t>7) Physical Security (CCTV, Access Control)</t>
  </si>
  <si>
    <t>8) Critical UPS / Partial Generators / Backup</t>
  </si>
  <si>
    <t>9) Mechanical Systems and Fire Suppression</t>
  </si>
  <si>
    <t>10) Permits / Engineering (EPC) / Licenses</t>
  </si>
  <si>
    <t>11) Installation, Commissioning, and Testing</t>
  </si>
  <si>
    <t>Academic Collaboration</t>
  </si>
  <si>
    <t>YEAR 8</t>
  </si>
  <si>
    <t>YEAR 10</t>
  </si>
  <si>
    <t>Includes grid connection, transformers, MV protection</t>
  </si>
  <si>
    <t>Efficient industrial air vs. liquid immersion (more expensive)</t>
  </si>
  <si>
    <t>Paving, roofing, electrical rooms, drainage, truck access</t>
  </si>
  <si>
    <t>Industrial rack for ~40 ASICs/rack</t>
  </si>
  <si>
    <t>2 PDUs per rack (estimated)</t>
  </si>
  <si>
    <t>Core switch, redundancy, firewall</t>
  </si>
  <si>
    <t>CCTV, biometrics, barriers</t>
  </si>
  <si>
    <t>UPS for critical systems + contingency plan / partial gensets</t>
  </si>
  <si>
    <t>Ducting, ventilation, suppression (water/inert gas)</t>
  </si>
  <si>
    <t>Studies, permits, detailed engineering</t>
  </si>
  <si>
    <t>Skilled labor, commissioning, testing</t>
  </si>
  <si>
    <t>Farm Inst. &amp; Infrastructure / 6000 ASIC capacity</t>
  </si>
  <si>
    <t xml:space="preserve">Scenario Selection </t>
  </si>
  <si>
    <t xml:space="preserve"> Annual Production (ASICs)</t>
  </si>
  <si>
    <t>First-batch Obtained ASICs</t>
  </si>
  <si>
    <t xml:space="preserve">Minimum Contract Period (Years) </t>
  </si>
  <si>
    <t>Customer</t>
  </si>
  <si>
    <t>Energy Cost (1000 ASICs Year)</t>
  </si>
  <si>
    <t>Customer  (x)</t>
  </si>
  <si>
    <t>Customer  (y)</t>
  </si>
  <si>
    <t>Customer  (z)</t>
  </si>
  <si>
    <t>Farm, Installation and Infrastructure (6000 ASICs Capacity)</t>
  </si>
  <si>
    <t>Budget 1</t>
  </si>
  <si>
    <t>Budget 2</t>
  </si>
  <si>
    <t>Budget limit :</t>
  </si>
  <si>
    <t xml:space="preserve">In kind royalties (percentage) </t>
  </si>
  <si>
    <t xml:space="preserve">Bitcoin Average price </t>
  </si>
  <si>
    <t xml:space="preserve">Time &amp; Energy efficiency increase </t>
  </si>
  <si>
    <t>Annual Average Production per Customer (ASICs)</t>
  </si>
  <si>
    <t xml:space="preserve">Minimum contract period (Years) </t>
  </si>
  <si>
    <t xml:space="preserve">Annual license fee </t>
  </si>
  <si>
    <t xml:space="preserve">Licenses Placed per Year (Custumers) </t>
  </si>
  <si>
    <t xml:space="preserve">Time &amp; Energy Efficiency Increase </t>
  </si>
  <si>
    <t xml:space="preserve">Electricity Operational Cost </t>
  </si>
  <si>
    <t>Reference Data</t>
  </si>
  <si>
    <t>USD</t>
  </si>
  <si>
    <t>Senior ASIC Design Engineer and Senior Verification Engineer (2)</t>
  </si>
  <si>
    <t>Tax, legal, accounting and internal administration (6-8)</t>
  </si>
  <si>
    <t>Conferences and Publications</t>
  </si>
  <si>
    <t>BTC</t>
  </si>
  <si>
    <t>TOTAL USD</t>
  </si>
  <si>
    <t xml:space="preserve">                      FINANCIAL PROJECTIONS FOR : Next-Generation Mining ASIC</t>
  </si>
  <si>
    <t xml:space="preserve">                      VERTICAL ANALYSIS </t>
  </si>
  <si>
    <t>Talent placement agency</t>
  </si>
  <si>
    <t>Open door to customers</t>
  </si>
  <si>
    <t xml:space="preserve">Amount </t>
  </si>
  <si>
    <t>Graduate Students agreement (4 to 7)</t>
  </si>
  <si>
    <t>Lab Hours, Workspace, and PCB Equipment agreement</t>
  </si>
  <si>
    <t>REQUIRED FOR YEAR 1</t>
  </si>
  <si>
    <t>NECESSARY REQUIRED</t>
  </si>
  <si>
    <t>REQUIRED FOR YEAR 2</t>
  </si>
  <si>
    <t>ESTIMATED LIFETIME INVESTMENT</t>
  </si>
  <si>
    <t>CATEGORY</t>
  </si>
  <si>
    <t>ALLOCATED RESOURCES</t>
  </si>
  <si>
    <t xml:space="preserve">   TYPES OF INCOME : Next-Generation Mining ASIC</t>
  </si>
  <si>
    <t>INCOME 1 -- Technology licensing</t>
  </si>
  <si>
    <t xml:space="preserve">INCOME 2  -- Mining Farm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</si>
</sst>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0.0%"/>
    <numFmt numFmtId="165" formatCode="0.000"/>
    <numFmt numFmtId="166" formatCode="_-[$฿-41E]* #,##0.00_-;\-[$฿-41E]* #,##0.00_-;_-[$฿-41E]* &quot;-&quot;??_-;_-@_-"/>
    <numFmt numFmtId="167" formatCode="_-&quot;$&quot;* #,##0_-;\-&quot;$&quot;* #,##0_-;_-&quot;$&quot;* &quot;-&quot;??_-;_-@_-"/>
    <numFmt numFmtId="168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 Black"/>
      <family val="2"/>
    </font>
    <font>
      <sz val="14"/>
      <color theme="1"/>
      <name val="Bahnschrift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i/>
      <sz val="11"/>
      <color theme="8" tint="0.59999389629810485"/>
      <name val="Calibri"/>
      <family val="2"/>
      <scheme val="minor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8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4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Arial Black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0" fillId="2" borderId="0" xfId="0" applyFill="1"/>
    <xf numFmtId="44" fontId="0" fillId="2" borderId="0" xfId="0" applyNumberFormat="1" applyFill="1"/>
    <xf numFmtId="0" fontId="0" fillId="2" borderId="0" xfId="0" applyFill="1" applyAlignment="1">
      <alignment horizontal="center"/>
    </xf>
    <xf numFmtId="44" fontId="0" fillId="2" borderId="0" xfId="1" applyFont="1" applyFill="1" applyBorder="1"/>
    <xf numFmtId="0" fontId="0" fillId="2" borderId="0" xfId="0" applyFill="1" applyBorder="1"/>
    <xf numFmtId="9" fontId="0" fillId="2" borderId="0" xfId="0" applyNumberForma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44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9" xfId="0" applyFill="1" applyBorder="1"/>
    <xf numFmtId="0" fontId="0" fillId="2" borderId="0" xfId="0" applyFill="1" applyBorder="1" applyAlignment="1">
      <alignment horizontal="right"/>
    </xf>
    <xf numFmtId="0" fontId="0" fillId="2" borderId="5" xfId="0" applyFill="1" applyBorder="1" applyAlignment="1">
      <alignment horizontal="right" vertical="center" wrapText="1"/>
    </xf>
    <xf numFmtId="9" fontId="0" fillId="2" borderId="7" xfId="0" applyNumberFormat="1" applyFill="1" applyBorder="1" applyAlignment="1">
      <alignment horizontal="right"/>
    </xf>
    <xf numFmtId="0" fontId="0" fillId="2" borderId="1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44" fontId="0" fillId="2" borderId="15" xfId="0" applyNumberFormat="1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9" xfId="0" applyFont="1" applyFill="1" applyBorder="1" applyAlignment="1"/>
    <xf numFmtId="44" fontId="8" fillId="2" borderId="0" xfId="1" applyFont="1" applyFill="1" applyBorder="1"/>
    <xf numFmtId="0" fontId="0" fillId="2" borderId="0" xfId="0" applyNumberFormat="1" applyFill="1"/>
    <xf numFmtId="2" fontId="0" fillId="2" borderId="0" xfId="0" applyNumberFormat="1" applyFill="1"/>
    <xf numFmtId="0" fontId="0" fillId="2" borderId="0" xfId="0" applyFill="1" applyBorder="1" applyAlignment="1">
      <alignment horizontal="center"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44" fontId="0" fillId="2" borderId="17" xfId="0" applyNumberFormat="1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44" fontId="0" fillId="2" borderId="0" xfId="1" applyFont="1" applyFill="1" applyAlignment="1">
      <alignment horizontal="right" vertical="center" wrapText="1"/>
    </xf>
    <xf numFmtId="44" fontId="0" fillId="2" borderId="0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9" fontId="0" fillId="2" borderId="14" xfId="0" applyNumberFormat="1" applyFill="1" applyBorder="1" applyAlignment="1">
      <alignment horizontal="center"/>
    </xf>
    <xf numFmtId="9" fontId="0" fillId="2" borderId="16" xfId="0" applyNumberFormat="1" applyFill="1" applyBorder="1" applyAlignment="1">
      <alignment horizontal="center"/>
    </xf>
    <xf numFmtId="0" fontId="9" fillId="2" borderId="0" xfId="0" applyFont="1" applyFill="1" applyBorder="1" applyAlignment="1"/>
    <xf numFmtId="0" fontId="0" fillId="2" borderId="12" xfId="0" applyFill="1" applyBorder="1" applyAlignment="1">
      <alignment horizontal="center"/>
    </xf>
    <xf numFmtId="44" fontId="0" fillId="2" borderId="0" xfId="0" applyNumberFormat="1" applyFill="1" applyBorder="1" applyAlignment="1">
      <alignment horizontal="right"/>
    </xf>
    <xf numFmtId="44" fontId="0" fillId="2" borderId="14" xfId="0" applyNumberFormat="1" applyFill="1" applyBorder="1"/>
    <xf numFmtId="44" fontId="0" fillId="2" borderId="0" xfId="0" applyNumberFormat="1" applyFill="1" applyBorder="1" applyAlignment="1">
      <alignment horizontal="center"/>
    </xf>
    <xf numFmtId="10" fontId="0" fillId="3" borderId="10" xfId="2" applyNumberFormat="1" applyFont="1" applyFill="1" applyBorder="1" applyAlignment="1">
      <alignment horizontal="center"/>
    </xf>
    <xf numFmtId="0" fontId="0" fillId="4" borderId="14" xfId="0" applyFill="1" applyBorder="1"/>
    <xf numFmtId="44" fontId="0" fillId="4" borderId="0" xfId="0" applyNumberFormat="1" applyFill="1" applyBorder="1"/>
    <xf numFmtId="44" fontId="0" fillId="4" borderId="0" xfId="1" applyFont="1" applyFill="1" applyBorder="1"/>
    <xf numFmtId="0" fontId="0" fillId="4" borderId="0" xfId="0" applyFill="1" applyBorder="1"/>
    <xf numFmtId="44" fontId="0" fillId="4" borderId="9" xfId="1" applyFont="1" applyFill="1" applyBorder="1"/>
    <xf numFmtId="44" fontId="0" fillId="4" borderId="9" xfId="0" applyNumberFormat="1" applyFill="1" applyBorder="1"/>
    <xf numFmtId="0" fontId="0" fillId="4" borderId="14" xfId="0" applyFill="1" applyBorder="1" applyAlignment="1">
      <alignment horizontal="left"/>
    </xf>
    <xf numFmtId="44" fontId="0" fillId="4" borderId="0" xfId="1" applyFont="1" applyFill="1" applyBorder="1" applyAlignment="1">
      <alignment horizontal="left"/>
    </xf>
    <xf numFmtId="44" fontId="0" fillId="4" borderId="9" xfId="1" applyFont="1" applyFill="1" applyBorder="1" applyAlignment="1">
      <alignment horizontal="left"/>
    </xf>
    <xf numFmtId="9" fontId="10" fillId="3" borderId="10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4" fontId="0" fillId="2" borderId="15" xfId="0" applyNumberFormat="1" applyFill="1" applyBorder="1" applyAlignment="1">
      <alignment horizontal="right"/>
    </xf>
    <xf numFmtId="44" fontId="0" fillId="2" borderId="15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44" fontId="0" fillId="5" borderId="26" xfId="0" applyNumberFormat="1" applyFill="1" applyBorder="1" applyAlignment="1">
      <alignment horizontal="center"/>
    </xf>
    <xf numFmtId="44" fontId="0" fillId="5" borderId="2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44" fontId="0" fillId="2" borderId="30" xfId="1" applyFont="1" applyFill="1" applyBorder="1" applyAlignment="1">
      <alignment horizontal="center"/>
    </xf>
    <xf numFmtId="44" fontId="0" fillId="2" borderId="30" xfId="0" applyNumberFormat="1" applyFill="1" applyBorder="1"/>
    <xf numFmtId="0" fontId="0" fillId="4" borderId="14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4" fontId="8" fillId="2" borderId="0" xfId="0" applyNumberFormat="1" applyFont="1" applyFill="1" applyBorder="1"/>
    <xf numFmtId="0" fontId="2" fillId="7" borderId="24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 vertical="center" wrapText="1"/>
    </xf>
    <xf numFmtId="0" fontId="0" fillId="2" borderId="11" xfId="0" applyFill="1" applyBorder="1"/>
    <xf numFmtId="44" fontId="0" fillId="4" borderId="17" xfId="0" applyNumberFormat="1" applyFill="1" applyBorder="1"/>
    <xf numFmtId="44" fontId="0" fillId="4" borderId="17" xfId="1" applyFont="1" applyFill="1" applyBorder="1"/>
    <xf numFmtId="44" fontId="0" fillId="4" borderId="24" xfId="0" applyNumberFormat="1" applyFill="1" applyBorder="1"/>
    <xf numFmtId="44" fontId="0" fillId="4" borderId="32" xfId="0" applyNumberFormat="1" applyFill="1" applyBorder="1"/>
    <xf numFmtId="44" fontId="0" fillId="4" borderId="10" xfId="0" applyNumberFormat="1" applyFill="1" applyBorder="1"/>
    <xf numFmtId="44" fontId="0" fillId="4" borderId="30" xfId="1" applyFont="1" applyFill="1" applyBorder="1" applyAlignment="1">
      <alignment horizontal="center"/>
    </xf>
    <xf numFmtId="44" fontId="0" fillId="4" borderId="30" xfId="0" applyNumberFormat="1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44" fontId="0" fillId="4" borderId="31" xfId="0" applyNumberFormat="1" applyFill="1" applyBorder="1"/>
    <xf numFmtId="0" fontId="0" fillId="4" borderId="14" xfId="0" applyFill="1" applyBorder="1" applyAlignment="1">
      <alignment horizontal="right"/>
    </xf>
    <xf numFmtId="44" fontId="0" fillId="4" borderId="2" xfId="1" applyFont="1" applyFill="1" applyBorder="1" applyAlignment="1">
      <alignment horizontal="right"/>
    </xf>
    <xf numFmtId="44" fontId="0" fillId="4" borderId="2" xfId="0" applyNumberFormat="1" applyFill="1" applyBorder="1"/>
    <xf numFmtId="44" fontId="0" fillId="4" borderId="2" xfId="0" applyNumberFormat="1" applyFill="1" applyBorder="1" applyAlignment="1">
      <alignment horizontal="right"/>
    </xf>
    <xf numFmtId="44" fontId="0" fillId="4" borderId="10" xfId="0" applyNumberFormat="1" applyFill="1" applyBorder="1" applyAlignment="1">
      <alignment horizontal="right"/>
    </xf>
    <xf numFmtId="44" fontId="0" fillId="4" borderId="27" xfId="0" applyNumberFormat="1" applyFill="1" applyBorder="1" applyAlignment="1">
      <alignment horizontal="center"/>
    </xf>
    <xf numFmtId="44" fontId="0" fillId="4" borderId="28" xfId="0" applyNumberFormat="1" applyFill="1" applyBorder="1" applyAlignment="1">
      <alignment horizontal="center"/>
    </xf>
    <xf numFmtId="44" fontId="0" fillId="4" borderId="10" xfId="0" applyNumberForma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4" borderId="2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/>
    </xf>
    <xf numFmtId="9" fontId="0" fillId="4" borderId="14" xfId="0" applyNumberFormat="1" applyFill="1" applyBorder="1" applyAlignment="1">
      <alignment horizontal="center"/>
    </xf>
    <xf numFmtId="44" fontId="0" fillId="4" borderId="15" xfId="1" applyFont="1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44" fontId="0" fillId="4" borderId="15" xfId="0" applyNumberFormat="1" applyFill="1" applyBorder="1"/>
    <xf numFmtId="44" fontId="13" fillId="2" borderId="30" xfId="0" applyNumberFormat="1" applyFont="1" applyFill="1" applyBorder="1" applyAlignment="1">
      <alignment vertical="top"/>
    </xf>
    <xf numFmtId="44" fontId="13" fillId="2" borderId="15" xfId="0" applyNumberFormat="1" applyFont="1" applyFill="1" applyBorder="1" applyAlignment="1">
      <alignment vertical="top"/>
    </xf>
    <xf numFmtId="44" fontId="0" fillId="4" borderId="30" xfId="1" applyFont="1" applyFill="1" applyBorder="1"/>
    <xf numFmtId="0" fontId="0" fillId="4" borderId="11" xfId="0" applyFill="1" applyBorder="1"/>
    <xf numFmtId="0" fontId="0" fillId="4" borderId="12" xfId="0" applyFill="1" applyBorder="1"/>
    <xf numFmtId="0" fontId="6" fillId="4" borderId="12" xfId="0" applyFont="1" applyFill="1" applyBorder="1" applyAlignment="1">
      <alignment horizontal="right"/>
    </xf>
    <xf numFmtId="44" fontId="0" fillId="4" borderId="12" xfId="0" applyNumberFormat="1" applyFill="1" applyBorder="1"/>
    <xf numFmtId="44" fontId="0" fillId="4" borderId="13" xfId="0" applyNumberFormat="1" applyFill="1" applyBorder="1"/>
    <xf numFmtId="9" fontId="6" fillId="4" borderId="0" xfId="0" applyNumberFormat="1" applyFont="1" applyFill="1" applyBorder="1" applyAlignment="1">
      <alignment horizontal="right"/>
    </xf>
    <xf numFmtId="44" fontId="0" fillId="4" borderId="1" xfId="0" applyNumberFormat="1" applyFill="1" applyBorder="1"/>
    <xf numFmtId="0" fontId="6" fillId="4" borderId="0" xfId="0" applyFont="1" applyFill="1" applyBorder="1" applyAlignment="1">
      <alignment horizontal="right"/>
    </xf>
    <xf numFmtId="44" fontId="2" fillId="4" borderId="0" xfId="0" applyNumberFormat="1" applyFont="1" applyFill="1" applyBorder="1"/>
    <xf numFmtId="0" fontId="2" fillId="4" borderId="0" xfId="0" applyFont="1" applyFill="1" applyBorder="1"/>
    <xf numFmtId="44" fontId="2" fillId="4" borderId="15" xfId="0" applyNumberFormat="1" applyFont="1" applyFill="1" applyBorder="1"/>
    <xf numFmtId="9" fontId="2" fillId="2" borderId="6" xfId="2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4" fontId="11" fillId="2" borderId="6" xfId="0" applyNumberFormat="1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center" wrapText="1"/>
    </xf>
    <xf numFmtId="9" fontId="2" fillId="2" borderId="6" xfId="2" applyNumberFormat="1" applyFont="1" applyFill="1" applyBorder="1" applyAlignment="1">
      <alignment horizontal="center"/>
    </xf>
    <xf numFmtId="9" fontId="2" fillId="2" borderId="8" xfId="0" applyNumberFormat="1" applyFont="1" applyFill="1" applyBorder="1" applyAlignment="1">
      <alignment horizontal="center"/>
    </xf>
    <xf numFmtId="44" fontId="13" fillId="2" borderId="31" xfId="1" applyFont="1" applyFill="1" applyBorder="1"/>
    <xf numFmtId="44" fontId="13" fillId="2" borderId="18" xfId="1" applyFont="1" applyFill="1" applyBorder="1"/>
    <xf numFmtId="44" fontId="1" fillId="4" borderId="15" xfId="1" applyFont="1" applyFill="1" applyBorder="1" applyAlignment="1">
      <alignment horizontal="center"/>
    </xf>
    <xf numFmtId="44" fontId="1" fillId="4" borderId="30" xfId="1" applyFont="1" applyFill="1" applyBorder="1"/>
    <xf numFmtId="44" fontId="1" fillId="4" borderId="30" xfId="1" applyFont="1" applyFill="1" applyBorder="1" applyAlignment="1">
      <alignment horizontal="center"/>
    </xf>
    <xf numFmtId="44" fontId="0" fillId="4" borderId="15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4" borderId="14" xfId="0" applyFont="1" applyFill="1" applyBorder="1" applyAlignment="1"/>
    <xf numFmtId="0" fontId="0" fillId="4" borderId="0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44" fontId="0" fillId="4" borderId="0" xfId="1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7" fontId="0" fillId="4" borderId="0" xfId="1" applyNumberFormat="1" applyFont="1" applyFill="1" applyBorder="1"/>
    <xf numFmtId="0" fontId="2" fillId="4" borderId="1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right" vertical="center" wrapText="1"/>
    </xf>
    <xf numFmtId="166" fontId="0" fillId="2" borderId="0" xfId="0" applyNumberFormat="1" applyFill="1" applyBorder="1"/>
    <xf numFmtId="166" fontId="0" fillId="6" borderId="0" xfId="0" applyNumberFormat="1" applyFill="1" applyBorder="1" applyAlignment="1">
      <alignment horizontal="center"/>
    </xf>
    <xf numFmtId="166" fontId="0" fillId="6" borderId="0" xfId="0" applyNumberFormat="1" applyFill="1" applyBorder="1"/>
    <xf numFmtId="44" fontId="0" fillId="2" borderId="0" xfId="1" applyFont="1" applyFill="1"/>
    <xf numFmtId="0" fontId="0" fillId="2" borderId="0" xfId="0" applyFill="1" applyBorder="1" applyAlignment="1">
      <alignment horizontal="center"/>
    </xf>
    <xf numFmtId="44" fontId="2" fillId="8" borderId="0" xfId="0" applyNumberFormat="1" applyFont="1" applyFill="1" applyBorder="1"/>
    <xf numFmtId="44" fontId="0" fillId="2" borderId="30" xfId="1" applyFont="1" applyFill="1" applyBorder="1"/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/>
    <xf numFmtId="166" fontId="0" fillId="2" borderId="20" xfId="0" applyNumberFormat="1" applyFill="1" applyBorder="1"/>
    <xf numFmtId="44" fontId="16" fillId="2" borderId="30" xfId="1" applyFont="1" applyFill="1" applyBorder="1" applyAlignment="1">
      <alignment horizontal="center" vertical="top"/>
    </xf>
    <xf numFmtId="44" fontId="16" fillId="2" borderId="15" xfId="1" applyFont="1" applyFill="1" applyBorder="1" applyAlignment="1">
      <alignment horizontal="center" vertical="top"/>
    </xf>
    <xf numFmtId="44" fontId="13" fillId="2" borderId="15" xfId="1" applyFont="1" applyFill="1" applyBorder="1" applyAlignment="1">
      <alignment horizontal="left" vertical="top"/>
    </xf>
    <xf numFmtId="44" fontId="0" fillId="4" borderId="34" xfId="0" applyNumberFormat="1" applyFill="1" applyBorder="1"/>
    <xf numFmtId="0" fontId="18" fillId="2" borderId="0" xfId="0" applyFont="1" applyFill="1" applyBorder="1"/>
    <xf numFmtId="0" fontId="18" fillId="2" borderId="6" xfId="0" applyFont="1" applyFill="1" applyBorder="1"/>
    <xf numFmtId="10" fontId="0" fillId="3" borderId="9" xfId="2" applyNumberFormat="1" applyFont="1" applyFill="1" applyBorder="1" applyAlignment="1">
      <alignment horizontal="center"/>
    </xf>
    <xf numFmtId="9" fontId="10" fillId="3" borderId="9" xfId="0" applyNumberFormat="1" applyFont="1" applyFill="1" applyBorder="1" applyAlignment="1">
      <alignment horizontal="center"/>
    </xf>
    <xf numFmtId="9" fontId="10" fillId="3" borderId="8" xfId="0" applyNumberFormat="1" applyFont="1" applyFill="1" applyBorder="1" applyAlignment="1">
      <alignment horizontal="center"/>
    </xf>
    <xf numFmtId="168" fontId="0" fillId="2" borderId="0" xfId="0" applyNumberFormat="1" applyFill="1"/>
    <xf numFmtId="10" fontId="10" fillId="3" borderId="9" xfId="0" applyNumberFormat="1" applyFont="1" applyFill="1" applyBorder="1" applyAlignment="1">
      <alignment horizontal="center"/>
    </xf>
    <xf numFmtId="10" fontId="10" fillId="3" borderId="8" xfId="0" applyNumberFormat="1" applyFont="1" applyFill="1" applyBorder="1" applyAlignment="1">
      <alignment horizontal="center"/>
    </xf>
    <xf numFmtId="44" fontId="0" fillId="4" borderId="25" xfId="0" applyNumberFormat="1" applyFill="1" applyBorder="1"/>
    <xf numFmtId="0" fontId="12" fillId="7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2" borderId="9" xfId="0" applyFont="1" applyFill="1" applyBorder="1" applyAlignment="1"/>
    <xf numFmtId="0" fontId="21" fillId="2" borderId="9" xfId="0" applyFont="1" applyFill="1" applyBorder="1" applyAlignment="1"/>
    <xf numFmtId="0" fontId="22" fillId="2" borderId="9" xfId="0" applyFont="1" applyFill="1" applyBorder="1"/>
    <xf numFmtId="0" fontId="22" fillId="2" borderId="0" xfId="0" applyFont="1" applyFill="1" applyBorder="1"/>
    <xf numFmtId="44" fontId="0" fillId="2" borderId="9" xfId="1" applyFont="1" applyFill="1" applyBorder="1"/>
    <xf numFmtId="0" fontId="23" fillId="0" borderId="5" xfId="0" applyFont="1" applyBorder="1" applyAlignment="1">
      <alignment horizontal="right"/>
    </xf>
    <xf numFmtId="44" fontId="24" fillId="4" borderId="0" xfId="1" applyFont="1" applyFill="1" applyBorder="1" applyAlignment="1">
      <alignment horizontal="right" vertical="center" wrapText="1"/>
    </xf>
    <xf numFmtId="44" fontId="13" fillId="2" borderId="30" xfId="1" applyFont="1" applyFill="1" applyBorder="1" applyAlignment="1">
      <alignment horizontal="left" vertical="top"/>
    </xf>
    <xf numFmtId="0" fontId="0" fillId="9" borderId="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44" fontId="0" fillId="4" borderId="32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44" fontId="2" fillId="2" borderId="10" xfId="1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/>
    <xf numFmtId="0" fontId="2" fillId="7" borderId="14" xfId="0" applyFont="1" applyFill="1" applyBorder="1" applyAlignment="1">
      <alignment horizontal="center"/>
    </xf>
    <xf numFmtId="9" fontId="10" fillId="3" borderId="7" xfId="0" applyNumberFormat="1" applyFont="1" applyFill="1" applyBorder="1" applyAlignment="1">
      <alignment horizontal="center"/>
    </xf>
    <xf numFmtId="10" fontId="0" fillId="3" borderId="7" xfId="2" applyNumberFormat="1" applyFont="1" applyFill="1" applyBorder="1" applyAlignment="1">
      <alignment horizontal="center"/>
    </xf>
    <xf numFmtId="0" fontId="25" fillId="10" borderId="0" xfId="0" applyFont="1" applyFill="1" applyAlignment="1">
      <alignment horizontal="right" wrapText="1"/>
    </xf>
    <xf numFmtId="0" fontId="25" fillId="10" borderId="2" xfId="0" applyFont="1" applyFill="1" applyBorder="1" applyAlignment="1">
      <alignment horizontal="center" wrapText="1"/>
    </xf>
    <xf numFmtId="0" fontId="25" fillId="10" borderId="0" xfId="0" applyFont="1" applyFill="1" applyAlignment="1">
      <alignment horizontal="right"/>
    </xf>
    <xf numFmtId="0" fontId="25" fillId="10" borderId="2" xfId="0" applyFont="1" applyFill="1" applyBorder="1" applyAlignment="1">
      <alignment horizontal="right"/>
    </xf>
    <xf numFmtId="0" fontId="26" fillId="10" borderId="0" xfId="0" applyFont="1" applyFill="1" applyAlignment="1">
      <alignment horizontal="center"/>
    </xf>
    <xf numFmtId="0" fontId="25" fillId="10" borderId="0" xfId="0" applyFont="1" applyFill="1"/>
    <xf numFmtId="0" fontId="25" fillId="10" borderId="0" xfId="0" applyFont="1" applyFill="1" applyAlignment="1">
      <alignment horizontal="center"/>
    </xf>
    <xf numFmtId="44" fontId="25" fillId="10" borderId="0" xfId="1" applyFont="1" applyFill="1"/>
    <xf numFmtId="2" fontId="25" fillId="10" borderId="0" xfId="2" applyNumberFormat="1" applyFont="1" applyFill="1"/>
    <xf numFmtId="0" fontId="19" fillId="10" borderId="0" xfId="0" applyFont="1" applyFill="1" applyAlignment="1">
      <alignment horizontal="center" vertical="center" wrapText="1"/>
    </xf>
    <xf numFmtId="44" fontId="19" fillId="10" borderId="0" xfId="0" applyNumberFormat="1" applyFont="1" applyFill="1" applyAlignment="1">
      <alignment horizontal="center" vertical="center" wrapText="1"/>
    </xf>
    <xf numFmtId="44" fontId="19" fillId="10" borderId="0" xfId="0" applyNumberFormat="1" applyFont="1" applyFill="1"/>
    <xf numFmtId="165" fontId="25" fillId="10" borderId="0" xfId="0" applyNumberFormat="1" applyFont="1" applyFill="1"/>
    <xf numFmtId="0" fontId="25" fillId="10" borderId="0" xfId="0" applyFont="1" applyFill="1" applyAlignment="1">
      <alignment vertical="center" wrapText="1"/>
    </xf>
    <xf numFmtId="10" fontId="25" fillId="10" borderId="0" xfId="0" applyNumberFormat="1" applyFont="1" applyFill="1" applyAlignment="1">
      <alignment vertical="center" wrapText="1"/>
    </xf>
    <xf numFmtId="10" fontId="25" fillId="10" borderId="0" xfId="0" applyNumberFormat="1" applyFont="1" applyFill="1" applyAlignment="1"/>
    <xf numFmtId="9" fontId="25" fillId="10" borderId="0" xfId="0" applyNumberFormat="1" applyFont="1" applyFill="1"/>
    <xf numFmtId="10" fontId="25" fillId="10" borderId="0" xfId="0" applyNumberFormat="1" applyFont="1" applyFill="1"/>
    <xf numFmtId="0" fontId="19" fillId="10" borderId="11" xfId="0" applyFont="1" applyFill="1" applyBorder="1" applyAlignment="1">
      <alignment horizontal="center"/>
    </xf>
    <xf numFmtId="44" fontId="25" fillId="10" borderId="15" xfId="1" applyFont="1" applyFill="1" applyBorder="1"/>
    <xf numFmtId="0" fontId="27" fillId="10" borderId="0" xfId="0" applyFont="1" applyFill="1" applyAlignment="1">
      <alignment horizontal="center"/>
    </xf>
    <xf numFmtId="0" fontId="19" fillId="10" borderId="24" xfId="0" applyFont="1" applyFill="1" applyBorder="1" applyAlignment="1">
      <alignment horizontal="center"/>
    </xf>
    <xf numFmtId="44" fontId="25" fillId="10" borderId="18" xfId="1" applyFont="1" applyFill="1" applyBorder="1"/>
    <xf numFmtId="0" fontId="25" fillId="10" borderId="0" xfId="0" applyFont="1" applyFill="1" applyBorder="1" applyAlignment="1"/>
    <xf numFmtId="0" fontId="19" fillId="10" borderId="0" xfId="0" applyFont="1" applyFill="1" applyAlignment="1">
      <alignment horizontal="center"/>
    </xf>
    <xf numFmtId="44" fontId="25" fillId="10" borderId="0" xfId="0" applyNumberFormat="1" applyFont="1" applyFill="1"/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4" fontId="0" fillId="9" borderId="21" xfId="1" applyFont="1" applyFill="1" applyBorder="1" applyAlignment="1">
      <alignment horizontal="center"/>
    </xf>
    <xf numFmtId="44" fontId="0" fillId="9" borderId="20" xfId="1" applyFont="1" applyFill="1" applyBorder="1" applyAlignment="1">
      <alignment horizontal="center"/>
    </xf>
    <xf numFmtId="44" fontId="0" fillId="9" borderId="23" xfId="1" applyFont="1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164" fontId="0" fillId="9" borderId="21" xfId="2" applyNumberFormat="1" applyFont="1" applyFill="1" applyBorder="1" applyAlignment="1">
      <alignment horizontal="center"/>
    </xf>
    <xf numFmtId="164" fontId="0" fillId="9" borderId="20" xfId="2" applyNumberFormat="1" applyFont="1" applyFill="1" applyBorder="1" applyAlignment="1">
      <alignment horizontal="center"/>
    </xf>
    <xf numFmtId="164" fontId="0" fillId="9" borderId="23" xfId="2" applyNumberFormat="1" applyFont="1" applyFill="1" applyBorder="1" applyAlignment="1">
      <alignment horizontal="center"/>
    </xf>
    <xf numFmtId="9" fontId="0" fillId="9" borderId="21" xfId="2" applyFont="1" applyFill="1" applyBorder="1" applyAlignment="1">
      <alignment horizontal="center"/>
    </xf>
    <xf numFmtId="9" fontId="0" fillId="9" borderId="20" xfId="2" applyFont="1" applyFill="1" applyBorder="1" applyAlignment="1">
      <alignment horizontal="center"/>
    </xf>
    <xf numFmtId="9" fontId="0" fillId="9" borderId="23" xfId="2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44" fontId="2" fillId="2" borderId="17" xfId="1" applyFont="1" applyFill="1" applyBorder="1" applyAlignment="1">
      <alignment horizontal="right" vertical="center" wrapText="1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25" fillId="10" borderId="11" xfId="0" applyFont="1" applyFill="1" applyBorder="1" applyAlignment="1">
      <alignment horizontal="center"/>
    </xf>
    <xf numFmtId="0" fontId="25" fillId="10" borderId="13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Income Percentage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010908970517642E-2"/>
          <c:y val="0.12151395097335863"/>
          <c:w val="0.86395881408399411"/>
          <c:h val="0.64775990702298836"/>
        </c:manualLayout>
      </c:layout>
      <c:barChart>
        <c:barDir val="col"/>
        <c:grouping val="percentStacked"/>
        <c:varyColors val="0"/>
        <c:ser>
          <c:idx val="1"/>
          <c:order val="1"/>
          <c:tx>
            <c:strRef>
              <c:f>'(not reading)'!$S$5</c:f>
              <c:strCache>
                <c:ptCount val="1"/>
                <c:pt idx="0">
                  <c:v>Types of Costs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'(not reading)'!$T$3:$AA$3</c:f>
              <c:numCache>
                <c:formatCode>_("$"* #,##0.00_);_("$"* \(#,##0.00\);_("$"* "-"??_);_(@_)</c:formatCode>
                <c:ptCount val="8"/>
                <c:pt idx="0">
                  <c:v>25000000</c:v>
                </c:pt>
                <c:pt idx="1">
                  <c:v>25000000</c:v>
                </c:pt>
                <c:pt idx="2">
                  <c:v>42500000</c:v>
                </c:pt>
                <c:pt idx="3">
                  <c:v>52500000</c:v>
                </c:pt>
                <c:pt idx="4">
                  <c:v>105000000</c:v>
                </c:pt>
                <c:pt idx="5">
                  <c:v>157500000</c:v>
                </c:pt>
                <c:pt idx="6">
                  <c:v>192500000</c:v>
                </c:pt>
                <c:pt idx="7">
                  <c:v>210000000</c:v>
                </c:pt>
              </c:numCache>
            </c:numRef>
          </c:cat>
          <c:val>
            <c:numRef>
              <c:f>'(not reading)'!$T$5:$AA$5</c:f>
              <c:numCache>
                <c:formatCode>0.00%</c:formatCode>
                <c:ptCount val="8"/>
                <c:pt idx="0">
                  <c:v>0.78673599999999999</c:v>
                </c:pt>
                <c:pt idx="1">
                  <c:v>0.78673599999999999</c:v>
                </c:pt>
                <c:pt idx="2">
                  <c:v>0.46278588235294116</c:v>
                </c:pt>
                <c:pt idx="3">
                  <c:v>0.37463619047619046</c:v>
                </c:pt>
                <c:pt idx="4">
                  <c:v>0.18731809523809523</c:v>
                </c:pt>
                <c:pt idx="5">
                  <c:v>0</c:v>
                </c:pt>
                <c:pt idx="6" formatCode="0%">
                  <c:v>0</c:v>
                </c:pt>
                <c:pt idx="7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6-4027-B90A-C1F508E590F7}"/>
            </c:ext>
          </c:extLst>
        </c:ser>
        <c:ser>
          <c:idx val="2"/>
          <c:order val="2"/>
          <c:tx>
            <c:strRef>
              <c:f>'(not reading)'!$S$6</c:f>
              <c:strCache>
                <c:ptCount val="1"/>
                <c:pt idx="0">
                  <c:v>Operating Expenses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'(not reading)'!$T$3:$AA$3</c:f>
              <c:numCache>
                <c:formatCode>_("$"* #,##0.00_);_("$"* \(#,##0.00\);_("$"* "-"??_);_(@_)</c:formatCode>
                <c:ptCount val="8"/>
                <c:pt idx="0">
                  <c:v>25000000</c:v>
                </c:pt>
                <c:pt idx="1">
                  <c:v>25000000</c:v>
                </c:pt>
                <c:pt idx="2">
                  <c:v>42500000</c:v>
                </c:pt>
                <c:pt idx="3">
                  <c:v>52500000</c:v>
                </c:pt>
                <c:pt idx="4">
                  <c:v>105000000</c:v>
                </c:pt>
                <c:pt idx="5">
                  <c:v>157500000</c:v>
                </c:pt>
                <c:pt idx="6">
                  <c:v>192500000</c:v>
                </c:pt>
                <c:pt idx="7">
                  <c:v>210000000</c:v>
                </c:pt>
              </c:numCache>
            </c:numRef>
          </c:cat>
          <c:val>
            <c:numRef>
              <c:f>'(not reading)'!$T$6:$AA$6</c:f>
              <c:numCache>
                <c:formatCode>0.00%</c:formatCode>
                <c:ptCount val="8"/>
                <c:pt idx="0">
                  <c:v>0.1158</c:v>
                </c:pt>
                <c:pt idx="1">
                  <c:v>7.5800000000000006E-2</c:v>
                </c:pt>
                <c:pt idx="2">
                  <c:v>0.15047058823529411</c:v>
                </c:pt>
                <c:pt idx="3">
                  <c:v>0.23609523809523811</c:v>
                </c:pt>
                <c:pt idx="4">
                  <c:v>0.22757142857142856</c:v>
                </c:pt>
                <c:pt idx="5">
                  <c:v>0.21203174603174604</c:v>
                </c:pt>
                <c:pt idx="6">
                  <c:v>0.21503896103896103</c:v>
                </c:pt>
                <c:pt idx="7">
                  <c:v>0.20902380952380953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6-4027-B90A-C1F508E590F7}"/>
            </c:ext>
          </c:extLst>
        </c:ser>
        <c:ser>
          <c:idx val="3"/>
          <c:order val="3"/>
          <c:tx>
            <c:strRef>
              <c:f>'(not reading)'!$S$7</c:f>
              <c:strCache>
                <c:ptCount val="1"/>
                <c:pt idx="0">
                  <c:v>EBITDA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prst="convex"/>
            </a:sp3d>
          </c:spPr>
          <c:invertIfNegative val="0"/>
          <c:cat>
            <c:numRef>
              <c:f>'(not reading)'!$T$3:$AA$3</c:f>
              <c:numCache>
                <c:formatCode>_("$"* #,##0.00_);_("$"* \(#,##0.00\);_("$"* "-"??_);_(@_)</c:formatCode>
                <c:ptCount val="8"/>
                <c:pt idx="0">
                  <c:v>25000000</c:v>
                </c:pt>
                <c:pt idx="1">
                  <c:v>25000000</c:v>
                </c:pt>
                <c:pt idx="2">
                  <c:v>42500000</c:v>
                </c:pt>
                <c:pt idx="3">
                  <c:v>52500000</c:v>
                </c:pt>
                <c:pt idx="4">
                  <c:v>105000000</c:v>
                </c:pt>
                <c:pt idx="5">
                  <c:v>157500000</c:v>
                </c:pt>
                <c:pt idx="6">
                  <c:v>192500000</c:v>
                </c:pt>
                <c:pt idx="7">
                  <c:v>210000000</c:v>
                </c:pt>
              </c:numCache>
            </c:numRef>
          </c:cat>
          <c:val>
            <c:numRef>
              <c:f>'(not reading)'!$T$7:$AA$7</c:f>
              <c:numCache>
                <c:formatCode>0.00%</c:formatCode>
                <c:ptCount val="8"/>
                <c:pt idx="0">
                  <c:v>9.7463999999999995E-2</c:v>
                </c:pt>
                <c:pt idx="1">
                  <c:v>0.137464</c:v>
                </c:pt>
                <c:pt idx="2">
                  <c:v>0.38674352941176471</c:v>
                </c:pt>
                <c:pt idx="3">
                  <c:v>0.38926857142857141</c:v>
                </c:pt>
                <c:pt idx="4">
                  <c:v>0.58511047619047618</c:v>
                </c:pt>
                <c:pt idx="5">
                  <c:v>0.78796825396825398</c:v>
                </c:pt>
                <c:pt idx="6">
                  <c:v>0.78496103896103897</c:v>
                </c:pt>
                <c:pt idx="7">
                  <c:v>0.7909761904761905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6-4027-B90A-C1F508E5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9600896"/>
        <c:axId val="13296021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'(not reading)'!$S$4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'(not reading)'!$T$3:$AA$3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25000000</c:v>
                      </c:pt>
                      <c:pt idx="1">
                        <c:v>25000000</c:v>
                      </c:pt>
                      <c:pt idx="2">
                        <c:v>42500000</c:v>
                      </c:pt>
                      <c:pt idx="3">
                        <c:v>52500000</c:v>
                      </c:pt>
                      <c:pt idx="4">
                        <c:v>105000000</c:v>
                      </c:pt>
                      <c:pt idx="5">
                        <c:v>157500000</c:v>
                      </c:pt>
                      <c:pt idx="6">
                        <c:v>192500000</c:v>
                      </c:pt>
                      <c:pt idx="7">
                        <c:v>210000000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'(not reading)'!$T$4:$AA$4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4B6-4027-B90A-C1F508E590F7}"/>
                  </c:ext>
                </c:extLst>
              </c15:ser>
            </c15:filteredBarSeries>
          </c:ext>
        </c:extLst>
      </c:barChart>
      <c:catAx>
        <c:axId val="1329600896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602144"/>
        <c:crosses val="autoZero"/>
        <c:auto val="0"/>
        <c:lblAlgn val="ctr"/>
        <c:lblOffset val="100"/>
        <c:noMultiLvlLbl val="0"/>
      </c:catAx>
      <c:valAx>
        <c:axId val="13296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60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187766306545"/>
          <c:y val="0.81998569641271535"/>
          <c:w val="0.62178404534495824"/>
          <c:h val="0.18001424789389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lt1">
                  <a:lumMod val="85000"/>
                </a:schemeClr>
              </a:solidFill>
              <a:effectLst>
                <a:outerShdw blurRad="63500" dist="50800" dir="5400000" sx="6000" sy="6000" algn="ctr" rotWithShape="0">
                  <a:srgbClr val="000000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60000"/>
        <a:lumOff val="40000"/>
      </a:schemeClr>
    </a:solidFill>
    <a:ln>
      <a:solidFill>
        <a:schemeClr val="accent1">
          <a:lumMod val="40000"/>
          <a:lumOff val="60000"/>
        </a:schemeClr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Vertical</a:t>
            </a:r>
            <a:r>
              <a:rPr lang="en-US" baseline="0"/>
              <a:t>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1"/>
          <c:tx>
            <c:strRef>
              <c:f>'(not reading)'!$S$5</c:f>
              <c:strCache>
                <c:ptCount val="1"/>
                <c:pt idx="0">
                  <c:v>Types of Costs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'(not reading)'!$T$3:$AA$3</c:f>
              <c:numCache>
                <c:formatCode>_("$"* #,##0.00_);_("$"* \(#,##0.00\);_("$"* "-"??_);_(@_)</c:formatCode>
                <c:ptCount val="8"/>
                <c:pt idx="0">
                  <c:v>25000000</c:v>
                </c:pt>
                <c:pt idx="1">
                  <c:v>25000000</c:v>
                </c:pt>
                <c:pt idx="2">
                  <c:v>42500000</c:v>
                </c:pt>
                <c:pt idx="3">
                  <c:v>52500000</c:v>
                </c:pt>
                <c:pt idx="4">
                  <c:v>105000000</c:v>
                </c:pt>
                <c:pt idx="5">
                  <c:v>157500000</c:v>
                </c:pt>
                <c:pt idx="6">
                  <c:v>192500000</c:v>
                </c:pt>
                <c:pt idx="7">
                  <c:v>210000000</c:v>
                </c:pt>
              </c:numCache>
            </c:numRef>
          </c:cat>
          <c:val>
            <c:numRef>
              <c:f>'(not reading)'!$T$5:$AA$5</c:f>
              <c:numCache>
                <c:formatCode>0.00%</c:formatCode>
                <c:ptCount val="8"/>
                <c:pt idx="0">
                  <c:v>0.78673599999999999</c:v>
                </c:pt>
                <c:pt idx="1">
                  <c:v>0.78673599999999999</c:v>
                </c:pt>
                <c:pt idx="2">
                  <c:v>0.46278588235294116</c:v>
                </c:pt>
                <c:pt idx="3">
                  <c:v>0.37463619047619046</c:v>
                </c:pt>
                <c:pt idx="4">
                  <c:v>0.18731809523809523</c:v>
                </c:pt>
                <c:pt idx="5">
                  <c:v>0</c:v>
                </c:pt>
                <c:pt idx="6" formatCode="0%">
                  <c:v>0</c:v>
                </c:pt>
                <c:pt idx="7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B-49CE-9F94-56331B502754}"/>
            </c:ext>
          </c:extLst>
        </c:ser>
        <c:ser>
          <c:idx val="2"/>
          <c:order val="2"/>
          <c:tx>
            <c:strRef>
              <c:f>'(not reading)'!$S$6</c:f>
              <c:strCache>
                <c:ptCount val="1"/>
                <c:pt idx="0">
                  <c:v>Operating Expenses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'(not reading)'!$T$3:$AA$3</c:f>
              <c:numCache>
                <c:formatCode>_("$"* #,##0.00_);_("$"* \(#,##0.00\);_("$"* "-"??_);_(@_)</c:formatCode>
                <c:ptCount val="8"/>
                <c:pt idx="0">
                  <c:v>25000000</c:v>
                </c:pt>
                <c:pt idx="1">
                  <c:v>25000000</c:v>
                </c:pt>
                <c:pt idx="2">
                  <c:v>42500000</c:v>
                </c:pt>
                <c:pt idx="3">
                  <c:v>52500000</c:v>
                </c:pt>
                <c:pt idx="4">
                  <c:v>105000000</c:v>
                </c:pt>
                <c:pt idx="5">
                  <c:v>157500000</c:v>
                </c:pt>
                <c:pt idx="6">
                  <c:v>192500000</c:v>
                </c:pt>
                <c:pt idx="7">
                  <c:v>210000000</c:v>
                </c:pt>
              </c:numCache>
            </c:numRef>
          </c:cat>
          <c:val>
            <c:numRef>
              <c:f>'(not reading)'!$T$6:$AA$6</c:f>
              <c:numCache>
                <c:formatCode>0.00%</c:formatCode>
                <c:ptCount val="8"/>
                <c:pt idx="0">
                  <c:v>0.1158</c:v>
                </c:pt>
                <c:pt idx="1">
                  <c:v>7.5800000000000006E-2</c:v>
                </c:pt>
                <c:pt idx="2">
                  <c:v>0.15047058823529411</c:v>
                </c:pt>
                <c:pt idx="3">
                  <c:v>0.23609523809523811</c:v>
                </c:pt>
                <c:pt idx="4">
                  <c:v>0.22757142857142856</c:v>
                </c:pt>
                <c:pt idx="5">
                  <c:v>0.21203174603174604</c:v>
                </c:pt>
                <c:pt idx="6">
                  <c:v>0.21503896103896103</c:v>
                </c:pt>
                <c:pt idx="7">
                  <c:v>0.20902380952380953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B-49CE-9F94-56331B502754}"/>
            </c:ext>
          </c:extLst>
        </c:ser>
        <c:ser>
          <c:idx val="3"/>
          <c:order val="3"/>
          <c:tx>
            <c:strRef>
              <c:f>'(not reading)'!$S$7</c:f>
              <c:strCache>
                <c:ptCount val="1"/>
                <c:pt idx="0">
                  <c:v>EBITDA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'(not reading)'!$T$3:$AA$3</c:f>
              <c:numCache>
                <c:formatCode>_("$"* #,##0.00_);_("$"* \(#,##0.00\);_("$"* "-"??_);_(@_)</c:formatCode>
                <c:ptCount val="8"/>
                <c:pt idx="0">
                  <c:v>25000000</c:v>
                </c:pt>
                <c:pt idx="1">
                  <c:v>25000000</c:v>
                </c:pt>
                <c:pt idx="2">
                  <c:v>42500000</c:v>
                </c:pt>
                <c:pt idx="3">
                  <c:v>52500000</c:v>
                </c:pt>
                <c:pt idx="4">
                  <c:v>105000000</c:v>
                </c:pt>
                <c:pt idx="5">
                  <c:v>157500000</c:v>
                </c:pt>
                <c:pt idx="6">
                  <c:v>192500000</c:v>
                </c:pt>
                <c:pt idx="7">
                  <c:v>210000000</c:v>
                </c:pt>
              </c:numCache>
            </c:numRef>
          </c:cat>
          <c:val>
            <c:numRef>
              <c:f>'(not reading)'!$T$7:$AA$7</c:f>
              <c:numCache>
                <c:formatCode>0.00%</c:formatCode>
                <c:ptCount val="8"/>
                <c:pt idx="0">
                  <c:v>9.7463999999999995E-2</c:v>
                </c:pt>
                <c:pt idx="1">
                  <c:v>0.137464</c:v>
                </c:pt>
                <c:pt idx="2">
                  <c:v>0.38674352941176471</c:v>
                </c:pt>
                <c:pt idx="3">
                  <c:v>0.38926857142857141</c:v>
                </c:pt>
                <c:pt idx="4">
                  <c:v>0.58511047619047618</c:v>
                </c:pt>
                <c:pt idx="5">
                  <c:v>0.78796825396825398</c:v>
                </c:pt>
                <c:pt idx="6">
                  <c:v>0.78496103896103897</c:v>
                </c:pt>
                <c:pt idx="7">
                  <c:v>0.7909761904761905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BB-49CE-9F94-56331B502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9600896"/>
        <c:axId val="13296021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'(not reading)'!$S$4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'(not reading)'!$T$3:$AA$3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8"/>
                      <c:pt idx="0">
                        <c:v>25000000</c:v>
                      </c:pt>
                      <c:pt idx="1">
                        <c:v>25000000</c:v>
                      </c:pt>
                      <c:pt idx="2">
                        <c:v>42500000</c:v>
                      </c:pt>
                      <c:pt idx="3">
                        <c:v>52500000</c:v>
                      </c:pt>
                      <c:pt idx="4">
                        <c:v>105000000</c:v>
                      </c:pt>
                      <c:pt idx="5">
                        <c:v>157500000</c:v>
                      </c:pt>
                      <c:pt idx="6">
                        <c:v>192500000</c:v>
                      </c:pt>
                      <c:pt idx="7">
                        <c:v>210000000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'(not reading)'!$T$4:$AA$4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BB-49CE-9F94-56331B502754}"/>
                  </c:ext>
                </c:extLst>
              </c15:ser>
            </c15:filteredBarSeries>
          </c:ext>
        </c:extLst>
      </c:barChart>
      <c:catAx>
        <c:axId val="1329600896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602144"/>
        <c:crosses val="autoZero"/>
        <c:auto val="0"/>
        <c:lblAlgn val="ctr"/>
        <c:lblOffset val="100"/>
        <c:noMultiLvlLbl val="0"/>
      </c:catAx>
      <c:valAx>
        <c:axId val="13296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60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071315786721874E-2"/>
          <c:y val="0.92023194941463582"/>
          <c:w val="0.52988728211868463"/>
          <c:h val="6.9552252949854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'(not reading)'!$AB$12</c:f>
              <c:strCache>
                <c:ptCount val="1"/>
                <c:pt idx="0">
                  <c:v>YEAR 1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'(not reading)'!$AC$12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F-4789-A4D1-8F813173CBAA}"/>
            </c:ext>
          </c:extLst>
        </c:ser>
        <c:ser>
          <c:idx val="1"/>
          <c:order val="1"/>
          <c:tx>
            <c:strRef>
              <c:f>'(not reading)'!$AB$13</c:f>
              <c:strCache>
                <c:ptCount val="1"/>
                <c:pt idx="0">
                  <c:v>YEAR 2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'(not reading)'!$AC$13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F-4789-A4D1-8F813173CBAA}"/>
            </c:ext>
          </c:extLst>
        </c:ser>
        <c:ser>
          <c:idx val="2"/>
          <c:order val="2"/>
          <c:tx>
            <c:strRef>
              <c:f>'(not reading)'!$AB$14</c:f>
              <c:strCache>
                <c:ptCount val="1"/>
                <c:pt idx="0">
                  <c:v>YEAR 3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val>
            <c:numRef>
              <c:f>'(not reading)'!$AC$14</c:f>
              <c:numCache>
                <c:formatCode>_("$"* #,##0.00_);_("$"* \(#,##0.00\);_("$"* "-"??_);_(@_)</c:formatCode>
                <c:ptCount val="1"/>
                <c:pt idx="0">
                  <c:v>25000000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F-4789-A4D1-8F813173CBAA}"/>
            </c:ext>
          </c:extLst>
        </c:ser>
        <c:ser>
          <c:idx val="3"/>
          <c:order val="3"/>
          <c:tx>
            <c:strRef>
              <c:f>'(not reading)'!$AB$15</c:f>
              <c:strCache>
                <c:ptCount val="1"/>
                <c:pt idx="0">
                  <c:v>YEAR 4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'(not reading)'!$AC$15</c:f>
              <c:numCache>
                <c:formatCode>_("$"* #,##0.00_);_("$"* \(#,##0.00\);_("$"* "-"??_);_(@_)</c:formatCode>
                <c:ptCount val="1"/>
                <c:pt idx="0">
                  <c:v>25000000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2F-4789-A4D1-8F813173CBAA}"/>
            </c:ext>
          </c:extLst>
        </c:ser>
        <c:ser>
          <c:idx val="4"/>
          <c:order val="4"/>
          <c:tx>
            <c:strRef>
              <c:f>'(not reading)'!$AB$16</c:f>
              <c:strCache>
                <c:ptCount val="1"/>
                <c:pt idx="0">
                  <c:v>YEAR 5 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'(not reading)'!$AC$16</c:f>
              <c:numCache>
                <c:formatCode>_("$"* #,##0.00_);_("$"* \(#,##0.00\);_("$"* "-"??_);_(@_)</c:formatCode>
                <c:ptCount val="1"/>
                <c:pt idx="0">
                  <c:v>42500000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2F-4789-A4D1-8F813173CBAA}"/>
            </c:ext>
          </c:extLst>
        </c:ser>
        <c:ser>
          <c:idx val="5"/>
          <c:order val="5"/>
          <c:tx>
            <c:strRef>
              <c:f>'(not reading)'!$AB$17</c:f>
              <c:strCache>
                <c:ptCount val="1"/>
                <c:pt idx="0">
                  <c:v>YEAR 6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val>
            <c:numRef>
              <c:f>'(not reading)'!$AC$17</c:f>
              <c:numCache>
                <c:formatCode>_("$"* #,##0.00_);_("$"* \(#,##0.00\);_("$"* "-"??_);_(@_)</c:formatCode>
                <c:ptCount val="1"/>
                <c:pt idx="0">
                  <c:v>52500000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2F-4789-A4D1-8F813173CBAA}"/>
            </c:ext>
          </c:extLst>
        </c:ser>
        <c:ser>
          <c:idx val="6"/>
          <c:order val="6"/>
          <c:tx>
            <c:strRef>
              <c:f>'(not reading)'!$AB$18</c:f>
              <c:strCache>
                <c:ptCount val="1"/>
                <c:pt idx="0">
                  <c:v>YEAR 7 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reading)'!$AC$18</c:f>
              <c:numCache>
                <c:formatCode>_("$"* #,##0.00_);_("$"* \(#,##0.00\);_("$"* "-"??_);_(@_)</c:formatCode>
                <c:ptCount val="1"/>
                <c:pt idx="0">
                  <c:v>105000000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2F-4789-A4D1-8F813173CBAA}"/>
            </c:ext>
          </c:extLst>
        </c:ser>
        <c:ser>
          <c:idx val="7"/>
          <c:order val="7"/>
          <c:tx>
            <c:strRef>
              <c:f>'(not reading)'!$AB$19</c:f>
              <c:strCache>
                <c:ptCount val="1"/>
                <c:pt idx="0">
                  <c:v>YEAR 8 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reading)'!$AC$19</c:f>
              <c:numCache>
                <c:formatCode>_("$"* #,##0.00_);_("$"* \(#,##0.00\);_("$"* "-"??_);_(@_)</c:formatCode>
                <c:ptCount val="1"/>
                <c:pt idx="0">
                  <c:v>157500000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2F-4789-A4D1-8F813173CBAA}"/>
            </c:ext>
          </c:extLst>
        </c:ser>
        <c:ser>
          <c:idx val="8"/>
          <c:order val="8"/>
          <c:tx>
            <c:strRef>
              <c:f>'(not reading)'!$AB$20</c:f>
              <c:strCache>
                <c:ptCount val="1"/>
                <c:pt idx="0">
                  <c:v>YEAR 9 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reading)'!$AC$20</c:f>
              <c:numCache>
                <c:formatCode>_("$"* #,##0.00_);_("$"* \(#,##0.00\);_("$"* "-"??_);_(@_)</c:formatCode>
                <c:ptCount val="1"/>
                <c:pt idx="0">
                  <c:v>192500000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2F-4789-A4D1-8F813173CBAA}"/>
            </c:ext>
          </c:extLst>
        </c:ser>
        <c:ser>
          <c:idx val="9"/>
          <c:order val="9"/>
          <c:tx>
            <c:strRef>
              <c:f>'(not reading)'!$AB$21</c:f>
              <c:strCache>
                <c:ptCount val="1"/>
                <c:pt idx="0">
                  <c:v>YEAR 10 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reading)'!$AC$21</c:f>
              <c:numCache>
                <c:formatCode>_("$"* #,##0.00_);_("$"* \(#,##0.00\);_("$"* "-"??_);_(@_)</c:formatCode>
                <c:ptCount val="1"/>
                <c:pt idx="0">
                  <c:v>210000000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2F-4789-A4D1-8F813173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249333392"/>
        <c:axId val="1249335056"/>
        <c:axId val="0"/>
      </c:bar3DChart>
      <c:catAx>
        <c:axId val="1249333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49335056"/>
        <c:crosses val="autoZero"/>
        <c:auto val="1"/>
        <c:lblAlgn val="ctr"/>
        <c:lblOffset val="100"/>
        <c:noMultiLvlLbl val="0"/>
      </c:catAx>
      <c:valAx>
        <c:axId val="124933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3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533508311461069"/>
          <c:y val="0.78587853601633129"/>
          <c:w val="0.58266294838145227"/>
          <c:h val="0.148790017164809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Operating Expenses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'(not reading)'!$AB$29</c:f>
              <c:strCache>
                <c:ptCount val="1"/>
                <c:pt idx="0">
                  <c:v>YEAR 1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'(not reading)'!$AC$29</c:f>
              <c:numCache>
                <c:formatCode>_("$"* #,##0.00_);_("$"* \(#,##0.00\);_("$"* "-"??_);_(@_)</c:formatCode>
                <c:ptCount val="1"/>
                <c:pt idx="0">
                  <c:v>2957500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E-46E9-A8E4-34E647067CB0}"/>
            </c:ext>
          </c:extLst>
        </c:ser>
        <c:ser>
          <c:idx val="1"/>
          <c:order val="1"/>
          <c:tx>
            <c:strRef>
              <c:f>'(not reading)'!$AB$30</c:f>
              <c:strCache>
                <c:ptCount val="1"/>
                <c:pt idx="0">
                  <c:v>YEAR 2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'(not reading)'!$AC$30</c:f>
              <c:numCache>
                <c:formatCode>_("$"* #,##0.00_);_("$"* \(#,##0.00\);_("$"* "-"??_);_(@_)</c:formatCode>
                <c:ptCount val="1"/>
                <c:pt idx="0">
                  <c:v>1907500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E-46E9-A8E4-34E647067CB0}"/>
            </c:ext>
          </c:extLst>
        </c:ser>
        <c:ser>
          <c:idx val="2"/>
          <c:order val="2"/>
          <c:tx>
            <c:strRef>
              <c:f>'(not reading)'!$AB$31</c:f>
              <c:strCache>
                <c:ptCount val="1"/>
                <c:pt idx="0">
                  <c:v>YEAR 3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val>
            <c:numRef>
              <c:f>'(not reading)'!$AC$31</c:f>
              <c:numCache>
                <c:formatCode>_("$"* #,##0.00_);_("$"* \(#,##0.00\);_("$"* "-"??_);_(@_)</c:formatCode>
                <c:ptCount val="1"/>
                <c:pt idx="0">
                  <c:v>2907500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AE-46E9-A8E4-34E647067CB0}"/>
            </c:ext>
          </c:extLst>
        </c:ser>
        <c:ser>
          <c:idx val="3"/>
          <c:order val="3"/>
          <c:tx>
            <c:strRef>
              <c:f>'(not reading)'!$AB$32</c:f>
              <c:strCache>
                <c:ptCount val="1"/>
                <c:pt idx="0">
                  <c:v>YEAR 4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'(not reading)'!$AC$32</c:f>
              <c:numCache>
                <c:formatCode>_("$"* #,##0.00_);_("$"* \(#,##0.00\);_("$"* "-"??_);_(@_)</c:formatCode>
                <c:ptCount val="1"/>
                <c:pt idx="0">
                  <c:v>1907500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AE-46E9-A8E4-34E647067CB0}"/>
            </c:ext>
          </c:extLst>
        </c:ser>
        <c:ser>
          <c:idx val="4"/>
          <c:order val="4"/>
          <c:tx>
            <c:strRef>
              <c:f>'(not reading)'!$AB$33</c:f>
              <c:strCache>
                <c:ptCount val="1"/>
                <c:pt idx="0">
                  <c:v>YEAR 5 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'(not reading)'!$AC$33</c:f>
              <c:numCache>
                <c:formatCode>_("$"* #,##0.00_);_("$"* \(#,##0.00\);_("$"* "-"??_);_(@_)</c:formatCode>
                <c:ptCount val="1"/>
                <c:pt idx="0">
                  <c:v>6407500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AE-46E9-A8E4-34E647067CB0}"/>
            </c:ext>
          </c:extLst>
        </c:ser>
        <c:ser>
          <c:idx val="5"/>
          <c:order val="5"/>
          <c:tx>
            <c:strRef>
              <c:f>'(not reading)'!$AB$34</c:f>
              <c:strCache>
                <c:ptCount val="1"/>
                <c:pt idx="0">
                  <c:v>YEAR 6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val>
            <c:numRef>
              <c:f>'(not reading)'!$AC$34</c:f>
              <c:numCache>
                <c:formatCode>_("$"* #,##0.00_);_("$"* \(#,##0.00\);_("$"* "-"??_);_(@_)</c:formatCode>
                <c:ptCount val="1"/>
                <c:pt idx="0">
                  <c:v>13407500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AE-46E9-A8E4-34E647067CB0}"/>
            </c:ext>
          </c:extLst>
        </c:ser>
        <c:ser>
          <c:idx val="6"/>
          <c:order val="6"/>
          <c:tx>
            <c:strRef>
              <c:f>'(not reading)'!$AB$35</c:f>
              <c:strCache>
                <c:ptCount val="1"/>
                <c:pt idx="0">
                  <c:v>YEAR 7 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reading)'!$AC$35</c:f>
              <c:numCache>
                <c:formatCode>_("$"* #,##0.00_);_("$"* \(#,##0.00\);_("$"* "-"??_);_(@_)</c:formatCode>
                <c:ptCount val="1"/>
                <c:pt idx="0">
                  <c:v>23907500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AE-46E9-A8E4-34E647067CB0}"/>
            </c:ext>
          </c:extLst>
        </c:ser>
        <c:ser>
          <c:idx val="7"/>
          <c:order val="7"/>
          <c:tx>
            <c:strRef>
              <c:f>'(not reading)'!$AB$36</c:f>
              <c:strCache>
                <c:ptCount val="1"/>
                <c:pt idx="0">
                  <c:v>YEAR 8 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reading)'!$AC$36</c:f>
              <c:numCache>
                <c:formatCode>_("$"* #,##0.00_);_("$"* \(#,##0.00\);_("$"* "-"??_);_(@_)</c:formatCode>
                <c:ptCount val="1"/>
                <c:pt idx="0">
                  <c:v>34407500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AE-46E9-A8E4-34E647067CB0}"/>
            </c:ext>
          </c:extLst>
        </c:ser>
        <c:ser>
          <c:idx val="8"/>
          <c:order val="8"/>
          <c:tx>
            <c:strRef>
              <c:f>'(not reading)'!$AB$37</c:f>
              <c:strCache>
                <c:ptCount val="1"/>
                <c:pt idx="0">
                  <c:v>YEAR 9 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reading)'!$AC$37</c:f>
              <c:numCache>
                <c:formatCode>_("$"* #,##0.00_);_("$"* \(#,##0.00\);_("$"* "-"??_);_(@_)</c:formatCode>
                <c:ptCount val="1"/>
                <c:pt idx="0">
                  <c:v>41407500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AE-46E9-A8E4-34E647067CB0}"/>
            </c:ext>
          </c:extLst>
        </c:ser>
        <c:ser>
          <c:idx val="9"/>
          <c:order val="9"/>
          <c:tx>
            <c:strRef>
              <c:f>'(not reading)'!$AB$38</c:f>
              <c:strCache>
                <c:ptCount val="1"/>
                <c:pt idx="0">
                  <c:v>YEAR 10 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reading)'!$AC$38</c:f>
              <c:numCache>
                <c:formatCode>_("$"* #,##0.00_);_("$"* \(#,##0.00\);_("$"* "-"??_);_(@_)</c:formatCode>
                <c:ptCount val="1"/>
                <c:pt idx="0">
                  <c:v>44907500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AE-46E9-A8E4-34E647067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248888480"/>
        <c:axId val="1248880160"/>
        <c:axId val="0"/>
      </c:bar3DChart>
      <c:catAx>
        <c:axId val="1248888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48880160"/>
        <c:crosses val="autoZero"/>
        <c:auto val="1"/>
        <c:lblAlgn val="ctr"/>
        <c:lblOffset val="100"/>
        <c:noMultiLvlLbl val="0"/>
      </c:catAx>
      <c:valAx>
        <c:axId val="124888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8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841644794399"/>
          <c:y val="0.80902668416447965"/>
          <c:w val="0.5832151658908884"/>
          <c:h val="0.149826881395923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'(not reading)'!$AB$48</c:f>
              <c:strCache>
                <c:ptCount val="1"/>
                <c:pt idx="0">
                  <c:v>YEAR 1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'(not reading)'!$AC$48</c:f>
              <c:numCache>
                <c:formatCode>_("$"* #,##0.00_);_("$"* \(#,##0.00\);_("$"* "-"??_);_(@_)</c:formatCode>
                <c:ptCount val="1"/>
                <c:pt idx="0">
                  <c:v>-3987500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9-4388-AD56-B33D5C543A2D}"/>
            </c:ext>
          </c:extLst>
        </c:ser>
        <c:ser>
          <c:idx val="1"/>
          <c:order val="1"/>
          <c:tx>
            <c:strRef>
              <c:f>'(not reading)'!$AB$49</c:f>
              <c:strCache>
                <c:ptCount val="1"/>
                <c:pt idx="0">
                  <c:v>YEAR 2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'(not reading)'!$AC$49</c:f>
              <c:numCache>
                <c:formatCode>_("$"* #,##0.00_);_("$"* \(#,##0.00\);_("$"* "-"??_);_(@_)</c:formatCode>
                <c:ptCount val="1"/>
                <c:pt idx="0">
                  <c:v>-1907500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9-4388-AD56-B33D5C543A2D}"/>
            </c:ext>
          </c:extLst>
        </c:ser>
        <c:ser>
          <c:idx val="2"/>
          <c:order val="2"/>
          <c:tx>
            <c:strRef>
              <c:f>'(not reading)'!$AB$50</c:f>
              <c:strCache>
                <c:ptCount val="1"/>
                <c:pt idx="0">
                  <c:v>YEAR 3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val>
            <c:numRef>
              <c:f>'(not reading)'!$AC$50</c:f>
              <c:numCache>
                <c:formatCode>_("$"* #,##0.00_);_("$"* \(#,##0.00\);_("$"* "-"??_);_(@_)</c:formatCode>
                <c:ptCount val="1"/>
                <c:pt idx="0">
                  <c:v>2424100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9-4388-AD56-B33D5C543A2D}"/>
            </c:ext>
          </c:extLst>
        </c:ser>
        <c:ser>
          <c:idx val="3"/>
          <c:order val="3"/>
          <c:tx>
            <c:strRef>
              <c:f>'(not reading)'!$AB$51</c:f>
              <c:strCache>
                <c:ptCount val="1"/>
                <c:pt idx="0">
                  <c:v>YEAR 4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'(not reading)'!$AC$51</c:f>
              <c:numCache>
                <c:formatCode>_("$"* #,##0.00_);_("$"* \(#,##0.00\);_("$"* "-"??_);_(@_)</c:formatCode>
                <c:ptCount val="1"/>
                <c:pt idx="0">
                  <c:v>23092500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79-4388-AD56-B33D5C543A2D}"/>
            </c:ext>
          </c:extLst>
        </c:ser>
        <c:ser>
          <c:idx val="4"/>
          <c:order val="4"/>
          <c:tx>
            <c:strRef>
              <c:f>'(not reading)'!$AB$52</c:f>
              <c:strCache>
                <c:ptCount val="1"/>
                <c:pt idx="0">
                  <c:v>YEAR 5 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'(not reading)'!$AC$52</c:f>
              <c:numCache>
                <c:formatCode>_("$"* #,##0.00_);_("$"* \(#,##0.00\);_("$"* "-"??_);_(@_)</c:formatCode>
                <c:ptCount val="1"/>
                <c:pt idx="0">
                  <c:v>16424100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79-4388-AD56-B33D5C543A2D}"/>
            </c:ext>
          </c:extLst>
        </c:ser>
        <c:ser>
          <c:idx val="5"/>
          <c:order val="5"/>
          <c:tx>
            <c:strRef>
              <c:f>'(not reading)'!$AB$53</c:f>
              <c:strCache>
                <c:ptCount val="1"/>
                <c:pt idx="0">
                  <c:v>YEAR 6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val>
            <c:numRef>
              <c:f>'(not reading)'!$AC$53</c:f>
              <c:numCache>
                <c:formatCode>_("$"* #,##0.00_);_("$"* \(#,##0.00\);_("$"* "-"??_);_(@_)</c:formatCode>
                <c:ptCount val="1"/>
                <c:pt idx="0">
                  <c:v>19424100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79-4388-AD56-B33D5C543A2D}"/>
            </c:ext>
          </c:extLst>
        </c:ser>
        <c:ser>
          <c:idx val="6"/>
          <c:order val="6"/>
          <c:tx>
            <c:strRef>
              <c:f>'(not reading)'!$AB$54</c:f>
              <c:strCache>
                <c:ptCount val="1"/>
                <c:pt idx="0">
                  <c:v>YEAR 7 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reading)'!$AC$54</c:f>
              <c:numCache>
                <c:formatCode>_("$"* #,##0.00_);_("$"* \(#,##0.00\);_("$"* "-"??_);_(@_)</c:formatCode>
                <c:ptCount val="1"/>
                <c:pt idx="0">
                  <c:v>61424100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79-4388-AD56-B33D5C543A2D}"/>
            </c:ext>
          </c:extLst>
        </c:ser>
        <c:ser>
          <c:idx val="7"/>
          <c:order val="7"/>
          <c:tx>
            <c:strRef>
              <c:f>'(not reading)'!$AB$55</c:f>
              <c:strCache>
                <c:ptCount val="1"/>
                <c:pt idx="0">
                  <c:v>YEAR 8 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reading)'!$AC$55</c:f>
              <c:numCache>
                <c:formatCode>_("$"* #,##0.00_);_("$"* \(#,##0.00\);_("$"* "-"??_);_(@_)</c:formatCode>
                <c:ptCount val="1"/>
                <c:pt idx="0">
                  <c:v>103424100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79-4388-AD56-B33D5C543A2D}"/>
            </c:ext>
          </c:extLst>
        </c:ser>
        <c:ser>
          <c:idx val="8"/>
          <c:order val="8"/>
          <c:tx>
            <c:strRef>
              <c:f>'(not reading)'!$AB$56</c:f>
              <c:strCache>
                <c:ptCount val="1"/>
                <c:pt idx="0">
                  <c:v>YEAR 9 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reading)'!$AC$56</c:f>
              <c:numCache>
                <c:formatCode>_("$"* #,##0.00_);_("$"* \(#,##0.00\);_("$"* "-"??_);_(@_)</c:formatCode>
                <c:ptCount val="1"/>
                <c:pt idx="0">
                  <c:v>151092500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79-4388-AD56-B33D5C543A2D}"/>
            </c:ext>
          </c:extLst>
        </c:ser>
        <c:ser>
          <c:idx val="9"/>
          <c:order val="9"/>
          <c:tx>
            <c:strRef>
              <c:f>'(not reading)'!$AB$57</c:f>
              <c:strCache>
                <c:ptCount val="1"/>
                <c:pt idx="0">
                  <c:v>YEAR 10 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val>
            <c:numRef>
              <c:f>'(not reading)'!$AC$57</c:f>
              <c:numCache>
                <c:formatCode>_("$"* #,##0.00_);_("$"* \(#,##0.00\);_("$"* "-"??_);_(@_)</c:formatCode>
                <c:ptCount val="1"/>
                <c:pt idx="0">
                  <c:v>165092500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79-4388-AD56-B33D5C54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248883488"/>
        <c:axId val="1248889312"/>
        <c:axId val="0"/>
      </c:bar3DChart>
      <c:catAx>
        <c:axId val="124888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48889312"/>
        <c:crosses val="autoZero"/>
        <c:auto val="1"/>
        <c:lblAlgn val="ctr"/>
        <c:lblOffset val="100"/>
        <c:noMultiLvlLbl val="0"/>
      </c:catAx>
      <c:valAx>
        <c:axId val="12488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8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00174978127741"/>
          <c:y val="0.79513779527559059"/>
          <c:w val="0.5832151658908884"/>
          <c:h val="0.1493066491688538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tmp"/><Relationship Id="rId1" Type="http://schemas.openxmlformats.org/officeDocument/2006/relationships/image" Target="../media/image2.tmp"/><Relationship Id="rId5" Type="http://schemas.openxmlformats.org/officeDocument/2006/relationships/image" Target="../media/image1.png"/><Relationship Id="rId4" Type="http://schemas.openxmlformats.org/officeDocument/2006/relationships/image" Target="../media/image4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1</xdr:row>
      <xdr:rowOff>370417</xdr:rowOff>
    </xdr:from>
    <xdr:to>
      <xdr:col>1</xdr:col>
      <xdr:colOff>1259416</xdr:colOff>
      <xdr:row>1</xdr:row>
      <xdr:rowOff>703791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370417"/>
          <a:ext cx="1238250" cy="333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304800</xdr:rowOff>
    </xdr:from>
    <xdr:to>
      <xdr:col>1</xdr:col>
      <xdr:colOff>1247775</xdr:colOff>
      <xdr:row>1</xdr:row>
      <xdr:rowOff>295274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0"/>
          <a:ext cx="1238250" cy="333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278606</xdr:colOff>
      <xdr:row>16</xdr:row>
      <xdr:rowOff>159544</xdr:rowOff>
    </xdr:from>
    <xdr:to>
      <xdr:col>40</xdr:col>
      <xdr:colOff>107238</xdr:colOff>
      <xdr:row>17</xdr:row>
      <xdr:rowOff>128612</xdr:rowOff>
    </xdr:to>
    <xdr:pic>
      <xdr:nvPicPr>
        <xdr:cNvPr id="2" name="Imagen 1" descr="Recorte de pantall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96169" y="3981450"/>
          <a:ext cx="590632" cy="183382"/>
        </a:xfrm>
        <a:prstGeom prst="rect">
          <a:avLst/>
        </a:prstGeom>
      </xdr:spPr>
    </xdr:pic>
    <xdr:clientData/>
  </xdr:twoCellAnchor>
  <xdr:twoCellAnchor editAs="oneCell">
    <xdr:from>
      <xdr:col>48</xdr:col>
      <xdr:colOff>533400</xdr:colOff>
      <xdr:row>15</xdr:row>
      <xdr:rowOff>66675</xdr:rowOff>
    </xdr:from>
    <xdr:to>
      <xdr:col>49</xdr:col>
      <xdr:colOff>200085</xdr:colOff>
      <xdr:row>16</xdr:row>
      <xdr:rowOff>28599</xdr:rowOff>
    </xdr:to>
    <xdr:pic>
      <xdr:nvPicPr>
        <xdr:cNvPr id="10" name="Imagen 9" descr="Recorte de pantall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42300" y="3667125"/>
          <a:ext cx="428685" cy="161948"/>
        </a:xfrm>
        <a:prstGeom prst="rect">
          <a:avLst/>
        </a:prstGeom>
      </xdr:spPr>
    </xdr:pic>
    <xdr:clientData/>
  </xdr:twoCellAnchor>
  <xdr:twoCellAnchor>
    <xdr:from>
      <xdr:col>39</xdr:col>
      <xdr:colOff>273843</xdr:colOff>
      <xdr:row>2</xdr:row>
      <xdr:rowOff>166688</xdr:rowOff>
    </xdr:from>
    <xdr:to>
      <xdr:col>49</xdr:col>
      <xdr:colOff>229082</xdr:colOff>
      <xdr:row>21</xdr:row>
      <xdr:rowOff>190499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39</xdr:col>
      <xdr:colOff>662464</xdr:colOff>
      <xdr:row>17</xdr:row>
      <xdr:rowOff>256950</xdr:rowOff>
    </xdr:from>
    <xdr:to>
      <xdr:col>40</xdr:col>
      <xdr:colOff>455325</xdr:colOff>
      <xdr:row>18</xdr:row>
      <xdr:rowOff>151117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80381" y="4035200"/>
          <a:ext cx="554861" cy="19050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</xdr:row>
      <xdr:rowOff>190500</xdr:rowOff>
    </xdr:from>
    <xdr:to>
      <xdr:col>1</xdr:col>
      <xdr:colOff>1259417</xdr:colOff>
      <xdr:row>1</xdr:row>
      <xdr:rowOff>523874</xdr:rowOff>
    </xdr:to>
    <xdr:pic>
      <xdr:nvPicPr>
        <xdr:cNvPr id="7" name="Imagen 6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476250"/>
          <a:ext cx="1238250" cy="3333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228601</xdr:rowOff>
    </xdr:from>
    <xdr:to>
      <xdr:col>2</xdr:col>
      <xdr:colOff>28576</xdr:colOff>
      <xdr:row>1</xdr:row>
      <xdr:rowOff>561975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419101"/>
          <a:ext cx="1238250" cy="3333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323850</xdr:rowOff>
    </xdr:from>
    <xdr:to>
      <xdr:col>1</xdr:col>
      <xdr:colOff>1257300</xdr:colOff>
      <xdr:row>1</xdr:row>
      <xdr:rowOff>276224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238250" cy="333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1</xdr:col>
      <xdr:colOff>1238250</xdr:colOff>
      <xdr:row>1</xdr:row>
      <xdr:rowOff>495299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52425"/>
          <a:ext cx="1238250" cy="3333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180974</xdr:colOff>
      <xdr:row>10</xdr:row>
      <xdr:rowOff>14287</xdr:rowOff>
    </xdr:from>
    <xdr:to>
      <xdr:col>24</xdr:col>
      <xdr:colOff>285750</xdr:colOff>
      <xdr:row>26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133350</xdr:colOff>
      <xdr:row>10</xdr:row>
      <xdr:rowOff>4762</xdr:rowOff>
    </xdr:from>
    <xdr:to>
      <xdr:col>35</xdr:col>
      <xdr:colOff>466725</xdr:colOff>
      <xdr:row>23</xdr:row>
      <xdr:rowOff>128587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133350</xdr:colOff>
      <xdr:row>27</xdr:row>
      <xdr:rowOff>14287</xdr:rowOff>
    </xdr:from>
    <xdr:to>
      <xdr:col>35</xdr:col>
      <xdr:colOff>466725</xdr:colOff>
      <xdr:row>40</xdr:row>
      <xdr:rowOff>176212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142875</xdr:colOff>
      <xdr:row>46</xdr:row>
      <xdr:rowOff>4762</xdr:rowOff>
    </xdr:from>
    <xdr:to>
      <xdr:col>35</xdr:col>
      <xdr:colOff>476250</xdr:colOff>
      <xdr:row>59</xdr:row>
      <xdr:rowOff>176212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100"/>
  <sheetViews>
    <sheetView tabSelected="1" topLeftCell="A2" zoomScaleNormal="100" workbookViewId="0">
      <selection activeCell="C2" sqref="C2"/>
    </sheetView>
  </sheetViews>
  <sheetFormatPr baseColWidth="10" defaultRowHeight="15" x14ac:dyDescent="0.25"/>
  <cols>
    <col min="1" max="1" width="1.28515625" style="1" customWidth="1"/>
    <col min="2" max="2" width="31.42578125" style="1" customWidth="1"/>
    <col min="3" max="3" width="31.28515625" style="1" customWidth="1"/>
    <col min="4" max="4" width="68.5703125" style="1" bestFit="1" customWidth="1"/>
    <col min="5" max="5" width="2.42578125" style="1" customWidth="1"/>
    <col min="6" max="6" width="25.28515625" style="1" customWidth="1"/>
    <col min="7" max="7" width="2.42578125" style="1" customWidth="1"/>
    <col min="8" max="8" width="8" style="1" customWidth="1"/>
    <col min="9" max="9" width="16.28515625" style="1" customWidth="1"/>
    <col min="10" max="10" width="2.42578125" style="1" customWidth="1"/>
    <col min="11" max="11" width="8.42578125" style="1" customWidth="1"/>
    <col min="12" max="12" width="15.28515625" style="1" customWidth="1"/>
    <col min="13" max="13" width="11.42578125" style="1"/>
    <col min="14" max="14" width="15.140625" style="1" customWidth="1"/>
    <col min="15" max="15" width="11.42578125" style="1"/>
    <col min="16" max="16" width="12.140625" style="1" bestFit="1" customWidth="1"/>
    <col min="17" max="16384" width="11.42578125" style="1"/>
  </cols>
  <sheetData>
    <row r="1" spans="1:11" ht="7.5" hidden="1" customHeight="1" x14ac:dyDescent="0.25">
      <c r="A1" s="241"/>
      <c r="B1" s="241"/>
      <c r="C1" s="241"/>
      <c r="D1" s="241"/>
      <c r="E1" s="72"/>
      <c r="F1" s="241"/>
      <c r="G1" s="241"/>
      <c r="H1" s="241"/>
      <c r="I1" s="241"/>
      <c r="J1" s="72"/>
    </row>
    <row r="2" spans="1:11" ht="58.5" customHeight="1" x14ac:dyDescent="0.6">
      <c r="A2" s="3"/>
      <c r="B2" s="190" t="s">
        <v>105</v>
      </c>
      <c r="C2" s="28"/>
      <c r="D2" s="191"/>
      <c r="E2" s="192"/>
      <c r="F2" s="192"/>
      <c r="G2" s="192"/>
      <c r="H2" s="192"/>
      <c r="I2" s="193"/>
      <c r="J2" s="193"/>
      <c r="K2" s="193"/>
    </row>
    <row r="3" spans="1:11" ht="10.5" customHeight="1" x14ac:dyDescent="0.3">
      <c r="A3" s="3"/>
      <c r="B3" s="24"/>
      <c r="C3" s="25"/>
    </row>
    <row r="4" spans="1:11" ht="21" customHeight="1" x14ac:dyDescent="0.3">
      <c r="B4" s="239" t="s">
        <v>52</v>
      </c>
      <c r="C4" s="240"/>
    </row>
    <row r="5" spans="1:11" ht="15.75" x14ac:dyDescent="0.25">
      <c r="B5" s="10" t="s">
        <v>194</v>
      </c>
      <c r="C5" s="136">
        <f>F94</f>
        <v>6600000</v>
      </c>
    </row>
    <row r="6" spans="1:11" x14ac:dyDescent="0.25">
      <c r="B6" s="10" t="s">
        <v>193</v>
      </c>
      <c r="C6" s="134">
        <f>I92/C5</f>
        <v>0.61477272727272725</v>
      </c>
    </row>
    <row r="7" spans="1:11" x14ac:dyDescent="0.25">
      <c r="B7" s="10" t="s">
        <v>195</v>
      </c>
      <c r="C7" s="134">
        <f>L92/C5</f>
        <v>0.21856060606060607</v>
      </c>
    </row>
    <row r="8" spans="1:11" x14ac:dyDescent="0.25">
      <c r="B8" s="11" t="s">
        <v>196</v>
      </c>
      <c r="C8" s="135" t="s">
        <v>39</v>
      </c>
    </row>
    <row r="9" spans="1:11" ht="9.75" customHeight="1" x14ac:dyDescent="0.25">
      <c r="B9" s="13"/>
      <c r="C9" s="13"/>
    </row>
    <row r="10" spans="1:11" ht="21" customHeight="1" x14ac:dyDescent="0.3">
      <c r="B10" s="137" t="s">
        <v>197</v>
      </c>
      <c r="C10" s="188" t="s">
        <v>198</v>
      </c>
      <c r="D10" s="31"/>
    </row>
    <row r="11" spans="1:11" x14ac:dyDescent="0.25">
      <c r="B11" s="14" t="s">
        <v>37</v>
      </c>
      <c r="C11" s="138">
        <f>F40/C5</f>
        <v>0.56818181818181823</v>
      </c>
      <c r="D11" s="31"/>
      <c r="E11" s="30"/>
      <c r="F11" s="30"/>
      <c r="G11" s="30"/>
      <c r="J11" s="30"/>
    </row>
    <row r="12" spans="1:11" x14ac:dyDescent="0.25">
      <c r="B12" s="10" t="s">
        <v>9</v>
      </c>
      <c r="C12" s="138">
        <f>(F68+F78)/C5</f>
        <v>0.21212121212121213</v>
      </c>
      <c r="D12" s="31"/>
    </row>
    <row r="13" spans="1:11" x14ac:dyDescent="0.25">
      <c r="B13" s="10" t="s">
        <v>66</v>
      </c>
      <c r="C13" s="138">
        <v>0.04</v>
      </c>
      <c r="D13" s="31"/>
    </row>
    <row r="14" spans="1:11" x14ac:dyDescent="0.25">
      <c r="B14" s="195" t="s">
        <v>142</v>
      </c>
      <c r="C14" s="138">
        <v>5.3496915011234355E-3</v>
      </c>
      <c r="D14" s="31"/>
    </row>
    <row r="15" spans="1:11" x14ac:dyDescent="0.25">
      <c r="B15" s="15" t="s">
        <v>43</v>
      </c>
      <c r="C15" s="139">
        <f>F93/C5</f>
        <v>0.16666666666666666</v>
      </c>
      <c r="D15" s="31"/>
      <c r="H15" s="30"/>
    </row>
    <row r="16" spans="1:11" ht="13.5" customHeight="1" thickBot="1" x14ac:dyDescent="0.3"/>
    <row r="17" spans="2:16" ht="15.75" thickBot="1" x14ac:dyDescent="0.3">
      <c r="B17" s="84" t="s">
        <v>40</v>
      </c>
      <c r="C17" s="85" t="s">
        <v>41</v>
      </c>
      <c r="D17" s="89" t="s">
        <v>42</v>
      </c>
      <c r="E17" s="73"/>
      <c r="F17" s="88" t="s">
        <v>94</v>
      </c>
      <c r="G17" s="73"/>
      <c r="H17" s="79" t="s">
        <v>44</v>
      </c>
      <c r="I17" s="82" t="s">
        <v>190</v>
      </c>
      <c r="J17" s="73"/>
      <c r="K17" s="79" t="s">
        <v>45</v>
      </c>
      <c r="L17" s="82" t="s">
        <v>190</v>
      </c>
    </row>
    <row r="18" spans="2:16" ht="9" customHeight="1" x14ac:dyDescent="0.25">
      <c r="B18" s="16"/>
      <c r="C18" s="17"/>
      <c r="D18" s="45"/>
      <c r="E18" s="7"/>
      <c r="F18" s="74"/>
      <c r="G18" s="7"/>
      <c r="H18" s="48"/>
      <c r="I18" s="87"/>
      <c r="J18" s="7"/>
      <c r="K18" s="48"/>
      <c r="L18" s="18"/>
    </row>
    <row r="19" spans="2:16" x14ac:dyDescent="0.25">
      <c r="B19" s="76" t="s">
        <v>37</v>
      </c>
      <c r="C19" s="77" t="s">
        <v>0</v>
      </c>
      <c r="D19" s="78" t="s">
        <v>1</v>
      </c>
      <c r="E19" s="7"/>
      <c r="F19" s="96">
        <v>400000</v>
      </c>
      <c r="G19" s="7"/>
      <c r="H19" s="116">
        <v>0.5</v>
      </c>
      <c r="I19" s="117">
        <f>F19*H19</f>
        <v>200000</v>
      </c>
      <c r="J19" s="7"/>
      <c r="K19" s="116">
        <v>0.5</v>
      </c>
      <c r="L19" s="119">
        <f>F19*K19</f>
        <v>200000</v>
      </c>
      <c r="N19" s="2"/>
    </row>
    <row r="20" spans="2:16" ht="9" customHeight="1" x14ac:dyDescent="0.25">
      <c r="B20" s="16"/>
      <c r="C20" s="17"/>
      <c r="D20" s="45"/>
      <c r="E20" s="7"/>
      <c r="F20" s="74"/>
      <c r="G20" s="7"/>
      <c r="H20" s="48"/>
      <c r="I20" s="87"/>
      <c r="J20" s="7"/>
      <c r="K20" s="48"/>
      <c r="L20" s="18"/>
    </row>
    <row r="21" spans="2:16" x14ac:dyDescent="0.25">
      <c r="B21" s="76" t="s">
        <v>37</v>
      </c>
      <c r="C21" s="77" t="s">
        <v>0</v>
      </c>
      <c r="D21" s="78" t="s">
        <v>181</v>
      </c>
      <c r="E21" s="7"/>
      <c r="F21" s="96">
        <v>600000</v>
      </c>
      <c r="G21" s="7"/>
      <c r="H21" s="116">
        <v>0.5</v>
      </c>
      <c r="I21" s="117">
        <f>F21*H21</f>
        <v>300000</v>
      </c>
      <c r="J21" s="7"/>
      <c r="K21" s="116">
        <v>0.5</v>
      </c>
      <c r="L21" s="119">
        <f>F21*K21</f>
        <v>300000</v>
      </c>
      <c r="N21" s="2"/>
    </row>
    <row r="22" spans="2:16" ht="9" customHeight="1" x14ac:dyDescent="0.25">
      <c r="B22" s="16"/>
      <c r="C22" s="17"/>
      <c r="D22" s="45"/>
      <c r="E22" s="7"/>
      <c r="F22" s="74"/>
      <c r="G22" s="7"/>
      <c r="H22" s="48"/>
      <c r="I22" s="87"/>
      <c r="J22" s="7"/>
      <c r="K22" s="48"/>
      <c r="L22" s="18"/>
    </row>
    <row r="23" spans="2:16" x14ac:dyDescent="0.25">
      <c r="B23" s="76" t="s">
        <v>37</v>
      </c>
      <c r="C23" s="77" t="s">
        <v>0</v>
      </c>
      <c r="D23" s="78" t="s">
        <v>2</v>
      </c>
      <c r="E23" s="7"/>
      <c r="F23" s="96">
        <v>400000</v>
      </c>
      <c r="G23" s="7"/>
      <c r="H23" s="116">
        <v>0.5</v>
      </c>
      <c r="I23" s="117">
        <f>F23*H23</f>
        <v>200000</v>
      </c>
      <c r="J23" s="7"/>
      <c r="K23" s="116">
        <v>0.5</v>
      </c>
      <c r="L23" s="119">
        <f>F23*K23</f>
        <v>200000</v>
      </c>
    </row>
    <row r="24" spans="2:16" ht="9" customHeight="1" x14ac:dyDescent="0.25">
      <c r="B24" s="16"/>
      <c r="C24" s="17"/>
      <c r="D24" s="45"/>
      <c r="E24" s="7"/>
      <c r="F24" s="74"/>
      <c r="G24" s="7"/>
      <c r="H24" s="48"/>
      <c r="I24" s="87"/>
      <c r="J24" s="7"/>
      <c r="K24" s="48"/>
      <c r="L24" s="18"/>
    </row>
    <row r="25" spans="2:16" x14ac:dyDescent="0.25">
      <c r="B25" s="76" t="s">
        <v>37</v>
      </c>
      <c r="C25" s="77" t="s">
        <v>0</v>
      </c>
      <c r="D25" s="78" t="s">
        <v>3</v>
      </c>
      <c r="E25" s="7"/>
      <c r="F25" s="96">
        <v>400000</v>
      </c>
      <c r="G25" s="7"/>
      <c r="H25" s="116">
        <v>0.5</v>
      </c>
      <c r="I25" s="117">
        <f>F25*H25</f>
        <v>200000</v>
      </c>
      <c r="J25" s="7"/>
      <c r="K25" s="116">
        <v>0.5</v>
      </c>
      <c r="L25" s="119">
        <f>F25*K25</f>
        <v>200000</v>
      </c>
    </row>
    <row r="26" spans="2:16" ht="9" customHeight="1" x14ac:dyDescent="0.25">
      <c r="B26" s="16"/>
      <c r="C26" s="17"/>
      <c r="D26" s="45"/>
      <c r="E26" s="7"/>
      <c r="F26" s="74"/>
      <c r="G26" s="7"/>
      <c r="H26" s="48"/>
      <c r="I26" s="87"/>
      <c r="J26" s="7"/>
      <c r="K26" s="48"/>
      <c r="L26" s="18"/>
    </row>
    <row r="27" spans="2:16" x14ac:dyDescent="0.25">
      <c r="B27" s="76" t="s">
        <v>37</v>
      </c>
      <c r="C27" s="77" t="s">
        <v>0</v>
      </c>
      <c r="D27" s="78" t="s">
        <v>4</v>
      </c>
      <c r="E27" s="7"/>
      <c r="F27" s="96">
        <v>150000</v>
      </c>
      <c r="G27" s="7"/>
      <c r="H27" s="116">
        <v>0.5</v>
      </c>
      <c r="I27" s="117">
        <f>F27*H27</f>
        <v>75000</v>
      </c>
      <c r="J27" s="7"/>
      <c r="K27" s="116">
        <v>0.5</v>
      </c>
      <c r="L27" s="119">
        <f>F27*K27</f>
        <v>75000</v>
      </c>
      <c r="N27" s="2"/>
      <c r="P27" s="2"/>
    </row>
    <row r="28" spans="2:16" ht="9" customHeight="1" x14ac:dyDescent="0.25">
      <c r="B28" s="16"/>
      <c r="C28" s="17"/>
      <c r="D28" s="45"/>
      <c r="E28" s="7"/>
      <c r="F28" s="74"/>
      <c r="G28" s="7"/>
      <c r="H28" s="48"/>
      <c r="I28" s="87"/>
      <c r="J28" s="7"/>
      <c r="K28" s="48"/>
      <c r="L28" s="18"/>
    </row>
    <row r="29" spans="2:16" x14ac:dyDescent="0.25">
      <c r="B29" s="76" t="s">
        <v>37</v>
      </c>
      <c r="C29" s="77" t="s">
        <v>0</v>
      </c>
      <c r="D29" s="78" t="s">
        <v>5</v>
      </c>
      <c r="E29" s="7"/>
      <c r="F29" s="96">
        <v>150000</v>
      </c>
      <c r="G29" s="7"/>
      <c r="H29" s="116">
        <v>0.5</v>
      </c>
      <c r="I29" s="117">
        <f>F29*H29</f>
        <v>75000</v>
      </c>
      <c r="J29" s="7"/>
      <c r="K29" s="116">
        <v>0.5</v>
      </c>
      <c r="L29" s="119">
        <f>F29*K29</f>
        <v>75000</v>
      </c>
    </row>
    <row r="30" spans="2:16" ht="9" customHeight="1" x14ac:dyDescent="0.25">
      <c r="B30" s="16"/>
      <c r="C30" s="17"/>
      <c r="D30" s="45"/>
      <c r="E30" s="7"/>
      <c r="F30" s="74"/>
      <c r="G30" s="7"/>
      <c r="H30" s="48"/>
      <c r="I30" s="87"/>
      <c r="J30" s="7"/>
      <c r="K30" s="48"/>
      <c r="L30" s="18"/>
    </row>
    <row r="31" spans="2:16" x14ac:dyDescent="0.25">
      <c r="B31" s="76" t="s">
        <v>37</v>
      </c>
      <c r="C31" s="77" t="s">
        <v>6</v>
      </c>
      <c r="D31" s="78" t="s">
        <v>96</v>
      </c>
      <c r="E31" s="7"/>
      <c r="F31" s="96">
        <v>150000</v>
      </c>
      <c r="G31" s="7"/>
      <c r="H31" s="116">
        <v>0.5</v>
      </c>
      <c r="I31" s="117">
        <f>F31*H31</f>
        <v>75000</v>
      </c>
      <c r="J31" s="7"/>
      <c r="K31" s="116">
        <v>0.5</v>
      </c>
      <c r="L31" s="119">
        <f>F31*K31</f>
        <v>75000</v>
      </c>
    </row>
    <row r="32" spans="2:16" ht="9" customHeight="1" x14ac:dyDescent="0.25">
      <c r="B32" s="16"/>
      <c r="C32" s="17"/>
      <c r="D32" s="45"/>
      <c r="E32" s="7"/>
      <c r="F32" s="74"/>
      <c r="G32" s="7"/>
      <c r="H32" s="48"/>
      <c r="I32" s="87"/>
      <c r="J32" s="7"/>
      <c r="K32" s="48"/>
      <c r="L32" s="18"/>
    </row>
    <row r="33" spans="2:14" x14ac:dyDescent="0.25">
      <c r="B33" s="76" t="s">
        <v>37</v>
      </c>
      <c r="C33" s="77" t="s">
        <v>6</v>
      </c>
      <c r="D33" s="78" t="s">
        <v>182</v>
      </c>
      <c r="E33" s="7"/>
      <c r="F33" s="96">
        <v>400000</v>
      </c>
      <c r="G33" s="7"/>
      <c r="H33" s="116">
        <v>0.5</v>
      </c>
      <c r="I33" s="117">
        <f>F33*H33</f>
        <v>200000</v>
      </c>
      <c r="J33" s="7"/>
      <c r="K33" s="116">
        <v>0.5</v>
      </c>
      <c r="L33" s="119">
        <f>F33*K33</f>
        <v>200000</v>
      </c>
    </row>
    <row r="34" spans="2:14" ht="9" customHeight="1" x14ac:dyDescent="0.25">
      <c r="B34" s="16"/>
      <c r="C34" s="17"/>
      <c r="D34" s="45"/>
      <c r="E34" s="7"/>
      <c r="F34" s="74"/>
      <c r="G34" s="7"/>
      <c r="H34" s="48"/>
      <c r="I34" s="87"/>
      <c r="J34" s="7"/>
      <c r="K34" s="48"/>
      <c r="L34" s="18"/>
    </row>
    <row r="35" spans="2:14" x14ac:dyDescent="0.25">
      <c r="B35" s="76" t="s">
        <v>37</v>
      </c>
      <c r="C35" s="77" t="s">
        <v>6</v>
      </c>
      <c r="D35" s="78" t="s">
        <v>93</v>
      </c>
      <c r="E35" s="7"/>
      <c r="F35" s="96">
        <v>100000</v>
      </c>
      <c r="G35" s="7"/>
      <c r="H35" s="116">
        <v>0.5</v>
      </c>
      <c r="I35" s="117">
        <f>F35*H35</f>
        <v>50000</v>
      </c>
      <c r="J35" s="7"/>
      <c r="K35" s="116">
        <v>0.5</v>
      </c>
      <c r="L35" s="119">
        <f>F35*K35</f>
        <v>50000</v>
      </c>
    </row>
    <row r="36" spans="2:14" ht="12" customHeight="1" x14ac:dyDescent="0.25">
      <c r="B36" s="16"/>
      <c r="C36" s="17"/>
      <c r="D36" s="45"/>
      <c r="E36" s="7"/>
      <c r="F36" s="175"/>
      <c r="G36" s="7"/>
      <c r="H36" s="48"/>
      <c r="I36" s="176"/>
      <c r="J36" s="7"/>
      <c r="K36" s="48"/>
      <c r="L36" s="176"/>
    </row>
    <row r="37" spans="2:14" x14ac:dyDescent="0.25">
      <c r="B37" s="76" t="s">
        <v>37</v>
      </c>
      <c r="C37" s="77" t="s">
        <v>36</v>
      </c>
      <c r="D37" s="78" t="s">
        <v>188</v>
      </c>
      <c r="E37" s="7"/>
      <c r="F37" s="96">
        <v>400000</v>
      </c>
      <c r="G37" s="7"/>
      <c r="H37" s="116">
        <v>1</v>
      </c>
      <c r="I37" s="117">
        <f>F37*H37</f>
        <v>400000</v>
      </c>
      <c r="J37" s="7"/>
      <c r="K37" s="116">
        <v>0</v>
      </c>
      <c r="L37" s="119">
        <f>F37*K37</f>
        <v>0</v>
      </c>
    </row>
    <row r="38" spans="2:14" ht="9" customHeight="1" x14ac:dyDescent="0.25">
      <c r="B38" s="16"/>
      <c r="C38" s="17"/>
      <c r="D38" s="45"/>
      <c r="E38" s="7"/>
      <c r="F38" s="74"/>
      <c r="G38" s="7"/>
      <c r="H38" s="48"/>
      <c r="I38" s="87"/>
      <c r="J38" s="7"/>
      <c r="K38" s="48"/>
      <c r="L38" s="18"/>
    </row>
    <row r="39" spans="2:14" x14ac:dyDescent="0.25">
      <c r="B39" s="76" t="s">
        <v>37</v>
      </c>
      <c r="C39" s="77" t="s">
        <v>36</v>
      </c>
      <c r="D39" s="78" t="s">
        <v>38</v>
      </c>
      <c r="E39" s="7"/>
      <c r="F39" s="144">
        <v>600000</v>
      </c>
      <c r="G39" s="7"/>
      <c r="H39" s="116">
        <v>1</v>
      </c>
      <c r="I39" s="142">
        <f>F39*H39</f>
        <v>600000</v>
      </c>
      <c r="J39" s="7"/>
      <c r="K39" s="116">
        <v>0</v>
      </c>
      <c r="L39" s="145">
        <f>F39*K39</f>
        <v>0</v>
      </c>
    </row>
    <row r="40" spans="2:14" ht="29.25" customHeight="1" x14ac:dyDescent="0.25">
      <c r="B40" s="19"/>
      <c r="C40" s="5"/>
      <c r="D40" s="20"/>
      <c r="E40" s="83"/>
      <c r="F40" s="120">
        <f>SUM(F19:F39)</f>
        <v>3750000</v>
      </c>
      <c r="G40" s="83"/>
      <c r="H40" s="35"/>
      <c r="I40" s="121">
        <f>SUM(I19:I39)</f>
        <v>2375000</v>
      </c>
      <c r="J40" s="83"/>
      <c r="K40" s="19"/>
      <c r="L40" s="121">
        <f>SUM(L19:L39)</f>
        <v>1375000</v>
      </c>
      <c r="N40" s="2"/>
    </row>
    <row r="41" spans="2:14" x14ac:dyDescent="0.25">
      <c r="B41" s="56" t="s">
        <v>9</v>
      </c>
      <c r="C41" s="59" t="s">
        <v>10</v>
      </c>
      <c r="D41" s="98" t="s">
        <v>11</v>
      </c>
      <c r="E41" s="4"/>
      <c r="F41" s="122">
        <v>15000</v>
      </c>
      <c r="G41" s="4"/>
      <c r="H41" s="116">
        <v>1</v>
      </c>
      <c r="I41" s="117">
        <f>F41*H41</f>
        <v>15000</v>
      </c>
      <c r="J41" s="4"/>
      <c r="K41" s="116">
        <v>0</v>
      </c>
      <c r="L41" s="119">
        <f>F41*K41</f>
        <v>0</v>
      </c>
    </row>
    <row r="42" spans="2:14" ht="9" customHeight="1" x14ac:dyDescent="0.25">
      <c r="B42" s="16"/>
      <c r="C42" s="17"/>
      <c r="D42" s="45"/>
      <c r="E42" s="7"/>
      <c r="F42" s="74"/>
      <c r="G42" s="7"/>
      <c r="H42" s="48"/>
      <c r="I42" s="87"/>
      <c r="J42" s="7"/>
      <c r="K42" s="48"/>
      <c r="L42" s="18"/>
    </row>
    <row r="43" spans="2:14" x14ac:dyDescent="0.25">
      <c r="B43" s="56" t="s">
        <v>9</v>
      </c>
      <c r="C43" s="59" t="s">
        <v>10</v>
      </c>
      <c r="D43" s="98" t="s">
        <v>12</v>
      </c>
      <c r="E43" s="4"/>
      <c r="F43" s="122">
        <v>10000</v>
      </c>
      <c r="G43" s="4"/>
      <c r="H43" s="116">
        <v>1</v>
      </c>
      <c r="I43" s="117">
        <f>F43*H43</f>
        <v>10000</v>
      </c>
      <c r="J43" s="4"/>
      <c r="K43" s="116">
        <v>0</v>
      </c>
      <c r="L43" s="119">
        <f>F43*K43</f>
        <v>0</v>
      </c>
    </row>
    <row r="44" spans="2:14" ht="9" customHeight="1" x14ac:dyDescent="0.25">
      <c r="B44" s="16"/>
      <c r="C44" s="17"/>
      <c r="D44" s="45"/>
      <c r="E44" s="7"/>
      <c r="F44" s="74"/>
      <c r="G44" s="7"/>
      <c r="H44" s="48"/>
      <c r="I44" s="87"/>
      <c r="J44" s="7"/>
      <c r="K44" s="48"/>
      <c r="L44" s="18"/>
    </row>
    <row r="45" spans="2:14" x14ac:dyDescent="0.25">
      <c r="B45" s="56" t="s">
        <v>9</v>
      </c>
      <c r="C45" s="59" t="s">
        <v>10</v>
      </c>
      <c r="D45" s="98" t="s">
        <v>13</v>
      </c>
      <c r="E45" s="4"/>
      <c r="F45" s="122">
        <v>10000</v>
      </c>
      <c r="G45" s="4"/>
      <c r="H45" s="116">
        <v>1</v>
      </c>
      <c r="I45" s="117">
        <f>F45*H45</f>
        <v>10000</v>
      </c>
      <c r="J45" s="4"/>
      <c r="K45" s="116">
        <v>0</v>
      </c>
      <c r="L45" s="119">
        <f>F45*K45</f>
        <v>0</v>
      </c>
    </row>
    <row r="46" spans="2:14" ht="9" customHeight="1" x14ac:dyDescent="0.25">
      <c r="B46" s="16"/>
      <c r="C46" s="17"/>
      <c r="D46" s="45"/>
      <c r="E46" s="7"/>
      <c r="F46" s="74"/>
      <c r="G46" s="7"/>
      <c r="H46" s="48"/>
      <c r="I46" s="87"/>
      <c r="J46" s="7"/>
      <c r="K46" s="48"/>
      <c r="L46" s="18"/>
    </row>
    <row r="47" spans="2:14" x14ac:dyDescent="0.25">
      <c r="B47" s="56" t="s">
        <v>9</v>
      </c>
      <c r="C47" s="59" t="s">
        <v>10</v>
      </c>
      <c r="D47" s="98" t="s">
        <v>14</v>
      </c>
      <c r="E47" s="4"/>
      <c r="F47" s="122">
        <v>10000</v>
      </c>
      <c r="G47" s="4"/>
      <c r="H47" s="116">
        <v>1</v>
      </c>
      <c r="I47" s="117">
        <f>F47*H47</f>
        <v>10000</v>
      </c>
      <c r="J47" s="4"/>
      <c r="K47" s="116">
        <v>0</v>
      </c>
      <c r="L47" s="119">
        <f>F47*K47</f>
        <v>0</v>
      </c>
    </row>
    <row r="48" spans="2:14" ht="9" customHeight="1" x14ac:dyDescent="0.25">
      <c r="B48" s="16"/>
      <c r="C48" s="17"/>
      <c r="D48" s="45"/>
      <c r="E48" s="7"/>
      <c r="F48" s="74"/>
      <c r="G48" s="7"/>
      <c r="H48" s="48"/>
      <c r="I48" s="87"/>
      <c r="J48" s="7"/>
      <c r="K48" s="48"/>
      <c r="L48" s="18"/>
    </row>
    <row r="49" spans="2:12" x14ac:dyDescent="0.25">
      <c r="B49" s="56" t="s">
        <v>9</v>
      </c>
      <c r="C49" s="59" t="s">
        <v>10</v>
      </c>
      <c r="D49" s="98" t="s">
        <v>15</v>
      </c>
      <c r="E49" s="4"/>
      <c r="F49" s="122">
        <v>20000</v>
      </c>
      <c r="G49" s="4"/>
      <c r="H49" s="116">
        <v>1</v>
      </c>
      <c r="I49" s="117">
        <f>F49*H49</f>
        <v>20000</v>
      </c>
      <c r="J49" s="4"/>
      <c r="K49" s="116">
        <v>0</v>
      </c>
      <c r="L49" s="119">
        <f>F49*K49</f>
        <v>0</v>
      </c>
    </row>
    <row r="50" spans="2:12" ht="9" customHeight="1" x14ac:dyDescent="0.25">
      <c r="B50" s="16"/>
      <c r="C50" s="17"/>
      <c r="D50" s="45"/>
      <c r="E50" s="7"/>
      <c r="F50" s="74"/>
      <c r="G50" s="7"/>
      <c r="H50" s="48"/>
      <c r="I50" s="87"/>
      <c r="J50" s="7"/>
      <c r="K50" s="48"/>
      <c r="L50" s="18"/>
    </row>
    <row r="51" spans="2:12" x14ac:dyDescent="0.25">
      <c r="B51" s="56" t="s">
        <v>9</v>
      </c>
      <c r="C51" s="59" t="s">
        <v>16</v>
      </c>
      <c r="D51" s="98" t="s">
        <v>17</v>
      </c>
      <c r="E51" s="4"/>
      <c r="F51" s="122">
        <v>20000</v>
      </c>
      <c r="G51" s="4"/>
      <c r="H51" s="116">
        <v>1</v>
      </c>
      <c r="I51" s="117">
        <f>F51*H51</f>
        <v>20000</v>
      </c>
      <c r="J51" s="4"/>
      <c r="K51" s="116">
        <v>0</v>
      </c>
      <c r="L51" s="119">
        <f>F51*K51</f>
        <v>0</v>
      </c>
    </row>
    <row r="52" spans="2:12" ht="9" customHeight="1" x14ac:dyDescent="0.25">
      <c r="B52" s="16"/>
      <c r="C52" s="17"/>
      <c r="D52" s="45"/>
      <c r="E52" s="7"/>
      <c r="F52" s="74"/>
      <c r="G52" s="7"/>
      <c r="H52" s="48"/>
      <c r="I52" s="87"/>
      <c r="J52" s="7"/>
      <c r="K52" s="48"/>
      <c r="L52" s="18"/>
    </row>
    <row r="53" spans="2:12" x14ac:dyDescent="0.25">
      <c r="B53" s="56" t="s">
        <v>9</v>
      </c>
      <c r="C53" s="59" t="s">
        <v>16</v>
      </c>
      <c r="D53" s="98" t="s">
        <v>18</v>
      </c>
      <c r="E53" s="4"/>
      <c r="F53" s="122">
        <v>15000</v>
      </c>
      <c r="G53" s="4"/>
      <c r="H53" s="116">
        <v>1</v>
      </c>
      <c r="I53" s="117">
        <f>F53*H53</f>
        <v>15000</v>
      </c>
      <c r="J53" s="4"/>
      <c r="K53" s="116">
        <v>0</v>
      </c>
      <c r="L53" s="119">
        <f>F53*K53</f>
        <v>0</v>
      </c>
    </row>
    <row r="54" spans="2:12" ht="9" customHeight="1" x14ac:dyDescent="0.25">
      <c r="B54" s="16"/>
      <c r="C54" s="17"/>
      <c r="D54" s="45"/>
      <c r="E54" s="7"/>
      <c r="F54" s="74"/>
      <c r="G54" s="7"/>
      <c r="H54" s="48"/>
      <c r="I54" s="87"/>
      <c r="J54" s="7"/>
      <c r="K54" s="48"/>
      <c r="L54" s="18"/>
    </row>
    <row r="55" spans="2:12" x14ac:dyDescent="0.25">
      <c r="B55" s="56" t="s">
        <v>9</v>
      </c>
      <c r="C55" s="59" t="s">
        <v>16</v>
      </c>
      <c r="D55" s="98" t="s">
        <v>19</v>
      </c>
      <c r="E55" s="4"/>
      <c r="F55" s="122">
        <v>15000</v>
      </c>
      <c r="G55" s="4"/>
      <c r="H55" s="116">
        <v>1</v>
      </c>
      <c r="I55" s="117">
        <f>F55*H55</f>
        <v>15000</v>
      </c>
      <c r="J55" s="4"/>
      <c r="K55" s="116">
        <v>0</v>
      </c>
      <c r="L55" s="119">
        <f>F55*K55</f>
        <v>0</v>
      </c>
    </row>
    <row r="56" spans="2:12" ht="9" customHeight="1" x14ac:dyDescent="0.25">
      <c r="B56" s="16"/>
      <c r="C56" s="17"/>
      <c r="D56" s="45"/>
      <c r="E56" s="7"/>
      <c r="F56" s="74"/>
      <c r="G56" s="7"/>
      <c r="H56" s="48"/>
      <c r="I56" s="87"/>
      <c r="J56" s="7"/>
      <c r="K56" s="48"/>
      <c r="L56" s="18"/>
    </row>
    <row r="57" spans="2:12" x14ac:dyDescent="0.25">
      <c r="B57" s="56" t="s">
        <v>9</v>
      </c>
      <c r="C57" s="59" t="s">
        <v>16</v>
      </c>
      <c r="D57" s="98" t="s">
        <v>20</v>
      </c>
      <c r="E57" s="4"/>
      <c r="F57" s="122">
        <v>5000</v>
      </c>
      <c r="G57" s="4"/>
      <c r="H57" s="116">
        <v>1</v>
      </c>
      <c r="I57" s="117">
        <f>F57*H57</f>
        <v>5000</v>
      </c>
      <c r="J57" s="4"/>
      <c r="K57" s="116">
        <v>0</v>
      </c>
      <c r="L57" s="119">
        <f>F57*K57</f>
        <v>0</v>
      </c>
    </row>
    <row r="58" spans="2:12" ht="9" customHeight="1" x14ac:dyDescent="0.25">
      <c r="B58" s="16"/>
      <c r="C58" s="17"/>
      <c r="D58" s="45"/>
      <c r="E58" s="7"/>
      <c r="F58" s="74"/>
      <c r="G58" s="7"/>
      <c r="H58" s="48"/>
      <c r="I58" s="87"/>
      <c r="J58" s="7"/>
      <c r="K58" s="48"/>
      <c r="L58" s="18"/>
    </row>
    <row r="59" spans="2:12" x14ac:dyDescent="0.25">
      <c r="B59" s="56" t="s">
        <v>9</v>
      </c>
      <c r="C59" s="59" t="s">
        <v>16</v>
      </c>
      <c r="D59" s="98" t="s">
        <v>21</v>
      </c>
      <c r="E59" s="4"/>
      <c r="F59" s="122">
        <v>5000</v>
      </c>
      <c r="G59" s="4"/>
      <c r="H59" s="116">
        <v>1</v>
      </c>
      <c r="I59" s="117">
        <f>F59*H59</f>
        <v>5000</v>
      </c>
      <c r="J59" s="4"/>
      <c r="K59" s="116">
        <v>0</v>
      </c>
      <c r="L59" s="119">
        <f>F59*K59</f>
        <v>0</v>
      </c>
    </row>
    <row r="60" spans="2:12" ht="9" customHeight="1" x14ac:dyDescent="0.25">
      <c r="B60" s="16"/>
      <c r="C60" s="17"/>
      <c r="D60" s="45"/>
      <c r="E60" s="7"/>
      <c r="F60" s="74"/>
      <c r="G60" s="7"/>
      <c r="H60" s="48"/>
      <c r="I60" s="87"/>
      <c r="J60" s="7"/>
      <c r="K60" s="48"/>
      <c r="L60" s="18"/>
    </row>
    <row r="61" spans="2:12" x14ac:dyDescent="0.25">
      <c r="B61" s="56" t="s">
        <v>9</v>
      </c>
      <c r="C61" s="59" t="s">
        <v>16</v>
      </c>
      <c r="D61" s="98" t="s">
        <v>22</v>
      </c>
      <c r="E61" s="4"/>
      <c r="F61" s="122">
        <v>5000</v>
      </c>
      <c r="G61" s="4"/>
      <c r="H61" s="116">
        <v>1</v>
      </c>
      <c r="I61" s="117">
        <f>F61*H61</f>
        <v>5000</v>
      </c>
      <c r="J61" s="4"/>
      <c r="K61" s="116">
        <v>0</v>
      </c>
      <c r="L61" s="119">
        <f>F61*K61</f>
        <v>0</v>
      </c>
    </row>
    <row r="62" spans="2:12" ht="9" customHeight="1" x14ac:dyDescent="0.25">
      <c r="B62" s="16"/>
      <c r="C62" s="17"/>
      <c r="D62" s="45"/>
      <c r="E62" s="7"/>
      <c r="F62" s="74"/>
      <c r="G62" s="7"/>
      <c r="H62" s="48"/>
      <c r="I62" s="87"/>
      <c r="J62" s="7"/>
      <c r="K62" s="48"/>
      <c r="L62" s="18"/>
    </row>
    <row r="63" spans="2:12" x14ac:dyDescent="0.25">
      <c r="B63" s="56" t="s">
        <v>9</v>
      </c>
      <c r="C63" s="59" t="s">
        <v>16</v>
      </c>
      <c r="D63" s="98" t="s">
        <v>23</v>
      </c>
      <c r="E63" s="4"/>
      <c r="F63" s="122">
        <v>20000</v>
      </c>
      <c r="G63" s="4"/>
      <c r="H63" s="116">
        <v>1</v>
      </c>
      <c r="I63" s="117">
        <f>F63*H63</f>
        <v>20000</v>
      </c>
      <c r="J63" s="4"/>
      <c r="K63" s="116">
        <v>0</v>
      </c>
      <c r="L63" s="119">
        <f>F63*K63</f>
        <v>0</v>
      </c>
    </row>
    <row r="64" spans="2:12" ht="9" customHeight="1" x14ac:dyDescent="0.25">
      <c r="B64" s="16"/>
      <c r="C64" s="17"/>
      <c r="D64" s="45"/>
      <c r="E64" s="7"/>
      <c r="F64" s="74"/>
      <c r="G64" s="7"/>
      <c r="H64" s="48"/>
      <c r="I64" s="87"/>
      <c r="J64" s="7"/>
      <c r="K64" s="48"/>
      <c r="L64" s="18"/>
    </row>
    <row r="65" spans="2:12" x14ac:dyDescent="0.25">
      <c r="B65" s="56" t="s">
        <v>9</v>
      </c>
      <c r="C65" s="59" t="s">
        <v>34</v>
      </c>
      <c r="D65" s="98" t="s">
        <v>35</v>
      </c>
      <c r="E65" s="4"/>
      <c r="F65" s="122">
        <v>200000</v>
      </c>
      <c r="G65" s="4"/>
      <c r="H65" s="116">
        <v>1</v>
      </c>
      <c r="I65" s="117">
        <f>F65*H65</f>
        <v>200000</v>
      </c>
      <c r="J65" s="4"/>
      <c r="K65" s="116">
        <v>0</v>
      </c>
      <c r="L65" s="119">
        <f>F65*K65</f>
        <v>0</v>
      </c>
    </row>
    <row r="66" spans="2:12" ht="9" customHeight="1" x14ac:dyDescent="0.25">
      <c r="B66" s="16"/>
      <c r="C66" s="17"/>
      <c r="D66" s="45"/>
      <c r="E66" s="7"/>
      <c r="F66" s="74"/>
      <c r="G66" s="7"/>
      <c r="H66" s="48"/>
      <c r="I66" s="87"/>
      <c r="J66" s="7"/>
      <c r="K66" s="48"/>
      <c r="L66" s="18"/>
    </row>
    <row r="67" spans="2:12" x14ac:dyDescent="0.25">
      <c r="B67" s="56" t="s">
        <v>9</v>
      </c>
      <c r="C67" s="59" t="s">
        <v>34</v>
      </c>
      <c r="D67" s="98" t="s">
        <v>95</v>
      </c>
      <c r="E67" s="4"/>
      <c r="F67" s="143">
        <v>50000</v>
      </c>
      <c r="G67" s="4"/>
      <c r="H67" s="116">
        <v>1</v>
      </c>
      <c r="I67" s="142">
        <f>F67*H67</f>
        <v>50000</v>
      </c>
      <c r="J67" s="4"/>
      <c r="K67" s="116">
        <v>0</v>
      </c>
      <c r="L67" s="119">
        <f>F67*K67</f>
        <v>0</v>
      </c>
    </row>
    <row r="68" spans="2:12" ht="29.25" customHeight="1" x14ac:dyDescent="0.25">
      <c r="B68" s="16"/>
      <c r="C68" s="17"/>
      <c r="D68" s="45"/>
      <c r="E68" s="7"/>
      <c r="F68" s="175">
        <f>F67+F65+F63+F61+F59+F57+F55+F53+F51+F49+F47+F45+F43+F41</f>
        <v>400000</v>
      </c>
      <c r="G68" s="7"/>
      <c r="H68" s="48"/>
      <c r="I68" s="176">
        <f>I67+I65+I63+I61+I59+I57+I55+I53+I51+I49+I47+I45+I43+I41</f>
        <v>400000</v>
      </c>
      <c r="J68" s="7"/>
      <c r="K68" s="48"/>
      <c r="L68" s="176">
        <f>L67+L65+L63+L61+L59+L57+L55+L53+L51+L49+L47+L45+L43+L41</f>
        <v>0</v>
      </c>
    </row>
    <row r="69" spans="2:12" x14ac:dyDescent="0.25">
      <c r="B69" s="56" t="s">
        <v>9</v>
      </c>
      <c r="C69" s="59" t="s">
        <v>24</v>
      </c>
      <c r="D69" s="98" t="s">
        <v>25</v>
      </c>
      <c r="E69" s="4"/>
      <c r="F69" s="122">
        <v>100000</v>
      </c>
      <c r="G69" s="4"/>
      <c r="H69" s="116">
        <v>1</v>
      </c>
      <c r="I69" s="117">
        <f>F69*H69</f>
        <v>100000</v>
      </c>
      <c r="J69" s="4"/>
      <c r="K69" s="116">
        <v>0</v>
      </c>
      <c r="L69" s="119">
        <f>F69*K69</f>
        <v>0</v>
      </c>
    </row>
    <row r="70" spans="2:12" ht="9" customHeight="1" x14ac:dyDescent="0.25">
      <c r="B70" s="16"/>
      <c r="C70" s="17"/>
      <c r="D70" s="45"/>
      <c r="E70" s="7"/>
      <c r="F70" s="74"/>
      <c r="G70" s="7"/>
      <c r="H70" s="48"/>
      <c r="I70" s="87"/>
      <c r="J70" s="7"/>
      <c r="K70" s="48"/>
      <c r="L70" s="18"/>
    </row>
    <row r="71" spans="2:12" x14ac:dyDescent="0.25">
      <c r="B71" s="56" t="s">
        <v>9</v>
      </c>
      <c r="C71" s="59" t="s">
        <v>24</v>
      </c>
      <c r="D71" s="98" t="s">
        <v>26</v>
      </c>
      <c r="E71" s="4"/>
      <c r="F71" s="122">
        <v>200000</v>
      </c>
      <c r="G71" s="4"/>
      <c r="H71" s="116">
        <v>1</v>
      </c>
      <c r="I71" s="117">
        <f>F71*H71</f>
        <v>200000</v>
      </c>
      <c r="J71" s="4"/>
      <c r="K71" s="116">
        <v>0</v>
      </c>
      <c r="L71" s="119">
        <f>F71*K71</f>
        <v>0</v>
      </c>
    </row>
    <row r="72" spans="2:12" ht="9" customHeight="1" x14ac:dyDescent="0.25">
      <c r="B72" s="16"/>
      <c r="C72" s="17"/>
      <c r="D72" s="45"/>
      <c r="E72" s="7"/>
      <c r="F72" s="74"/>
      <c r="G72" s="7"/>
      <c r="H72" s="48"/>
      <c r="I72" s="87"/>
      <c r="J72" s="7"/>
      <c r="K72" s="48"/>
      <c r="L72" s="18"/>
    </row>
    <row r="73" spans="2:12" x14ac:dyDescent="0.25">
      <c r="B73" s="56" t="s">
        <v>9</v>
      </c>
      <c r="C73" s="59" t="s">
        <v>24</v>
      </c>
      <c r="D73" s="98" t="s">
        <v>27</v>
      </c>
      <c r="E73" s="4"/>
      <c r="F73" s="122">
        <v>400000</v>
      </c>
      <c r="G73" s="4"/>
      <c r="H73" s="116">
        <v>1</v>
      </c>
      <c r="I73" s="117">
        <f>F73*H73</f>
        <v>400000</v>
      </c>
      <c r="J73" s="4"/>
      <c r="K73" s="116">
        <v>0</v>
      </c>
      <c r="L73" s="119">
        <f>F73*K73</f>
        <v>0</v>
      </c>
    </row>
    <row r="74" spans="2:12" ht="9" customHeight="1" x14ac:dyDescent="0.25">
      <c r="B74" s="16"/>
      <c r="C74" s="17"/>
      <c r="D74" s="45"/>
      <c r="E74" s="7"/>
      <c r="F74" s="74"/>
      <c r="G74" s="7"/>
      <c r="H74" s="48"/>
      <c r="I74" s="87"/>
      <c r="J74" s="7"/>
      <c r="K74" s="48"/>
      <c r="L74" s="18"/>
    </row>
    <row r="75" spans="2:12" x14ac:dyDescent="0.25">
      <c r="B75" s="56" t="s">
        <v>9</v>
      </c>
      <c r="C75" s="59" t="s">
        <v>24</v>
      </c>
      <c r="D75" s="98" t="s">
        <v>28</v>
      </c>
      <c r="E75" s="4"/>
      <c r="F75" s="122">
        <v>150000</v>
      </c>
      <c r="G75" s="4"/>
      <c r="H75" s="116">
        <v>1</v>
      </c>
      <c r="I75" s="117">
        <f>F75*H75</f>
        <v>150000</v>
      </c>
      <c r="J75" s="4"/>
      <c r="K75" s="116">
        <v>0</v>
      </c>
      <c r="L75" s="119">
        <f>F75*K75</f>
        <v>0</v>
      </c>
    </row>
    <row r="76" spans="2:12" ht="9" customHeight="1" x14ac:dyDescent="0.25">
      <c r="B76" s="16"/>
      <c r="C76" s="17"/>
      <c r="D76" s="45"/>
      <c r="E76" s="7"/>
      <c r="F76" s="74"/>
      <c r="G76" s="7"/>
      <c r="H76" s="48"/>
      <c r="I76" s="87"/>
      <c r="J76" s="7"/>
      <c r="K76" s="48"/>
      <c r="L76" s="18"/>
    </row>
    <row r="77" spans="2:12" x14ac:dyDescent="0.25">
      <c r="B77" s="56" t="s">
        <v>9</v>
      </c>
      <c r="C77" s="59" t="s">
        <v>24</v>
      </c>
      <c r="D77" s="98" t="s">
        <v>29</v>
      </c>
      <c r="E77" s="4"/>
      <c r="F77" s="122">
        <v>150000</v>
      </c>
      <c r="G77" s="4"/>
      <c r="H77" s="116">
        <v>1</v>
      </c>
      <c r="I77" s="117">
        <f>F77*H77</f>
        <v>150000</v>
      </c>
      <c r="J77" s="4"/>
      <c r="K77" s="116">
        <v>0</v>
      </c>
      <c r="L77" s="119">
        <f>F77*K77</f>
        <v>0</v>
      </c>
    </row>
    <row r="78" spans="2:12" ht="29.25" customHeight="1" x14ac:dyDescent="0.25">
      <c r="B78" s="19"/>
      <c r="C78" s="5"/>
      <c r="D78" s="20"/>
      <c r="E78" s="29"/>
      <c r="F78" s="197">
        <f>F69+F71+F73+F75+F77</f>
        <v>1000000</v>
      </c>
      <c r="G78" s="29"/>
      <c r="H78" s="35"/>
      <c r="I78" s="177">
        <f>I69+I71+I73+I75+I77</f>
        <v>1000000</v>
      </c>
      <c r="J78" s="29"/>
      <c r="K78" s="19"/>
      <c r="L78" s="177">
        <f>L69+L71+L73+L75+L77</f>
        <v>0</v>
      </c>
    </row>
    <row r="79" spans="2:12" x14ac:dyDescent="0.25">
      <c r="B79" s="56" t="s">
        <v>66</v>
      </c>
      <c r="C79" s="59" t="s">
        <v>183</v>
      </c>
      <c r="D79" s="98" t="s">
        <v>32</v>
      </c>
      <c r="E79" s="4"/>
      <c r="F79" s="122">
        <v>5000</v>
      </c>
      <c r="G79" s="4"/>
      <c r="H79" s="116">
        <v>0.5</v>
      </c>
      <c r="I79" s="117">
        <f>F79*H79</f>
        <v>2500</v>
      </c>
      <c r="J79" s="4"/>
      <c r="K79" s="116">
        <v>0.5</v>
      </c>
      <c r="L79" s="119">
        <f>F79*K79</f>
        <v>2500</v>
      </c>
    </row>
    <row r="80" spans="2:12" ht="9" customHeight="1" x14ac:dyDescent="0.25">
      <c r="B80" s="16"/>
      <c r="C80" s="17"/>
      <c r="D80" s="45"/>
      <c r="E80" s="7"/>
      <c r="F80" s="74"/>
      <c r="G80" s="7"/>
      <c r="H80" s="48"/>
      <c r="I80" s="87"/>
      <c r="J80" s="7"/>
      <c r="K80" s="48"/>
      <c r="L80" s="18"/>
    </row>
    <row r="81" spans="1:14" x14ac:dyDescent="0.25">
      <c r="B81" s="56" t="s">
        <v>66</v>
      </c>
      <c r="C81" s="59" t="s">
        <v>183</v>
      </c>
      <c r="D81" s="98" t="s">
        <v>30</v>
      </c>
      <c r="E81" s="4"/>
      <c r="F81" s="122">
        <v>15000</v>
      </c>
      <c r="G81" s="4"/>
      <c r="H81" s="116">
        <v>0.5</v>
      </c>
      <c r="I81" s="117">
        <f>F81*H81</f>
        <v>7500</v>
      </c>
      <c r="J81" s="4"/>
      <c r="K81" s="116">
        <v>0.5</v>
      </c>
      <c r="L81" s="119">
        <f>F81*K81</f>
        <v>7500</v>
      </c>
    </row>
    <row r="82" spans="1:14" ht="9" customHeight="1" x14ac:dyDescent="0.25">
      <c r="B82" s="16"/>
      <c r="C82" s="17"/>
      <c r="D82" s="45"/>
      <c r="E82" s="7"/>
      <c r="F82" s="74"/>
      <c r="G82" s="7"/>
      <c r="H82" s="48"/>
      <c r="I82" s="87"/>
      <c r="J82" s="7"/>
      <c r="K82" s="48"/>
      <c r="L82" s="18"/>
    </row>
    <row r="83" spans="1:14" ht="12.75" customHeight="1" x14ac:dyDescent="0.25">
      <c r="B83" s="56" t="s">
        <v>66</v>
      </c>
      <c r="C83" s="59" t="s">
        <v>122</v>
      </c>
      <c r="D83" s="98" t="s">
        <v>31</v>
      </c>
      <c r="E83" s="4"/>
      <c r="F83" s="122">
        <v>50000</v>
      </c>
      <c r="G83" s="4"/>
      <c r="H83" s="116">
        <v>0</v>
      </c>
      <c r="I83" s="117">
        <f>F83*H83</f>
        <v>0</v>
      </c>
      <c r="J83" s="4"/>
      <c r="K83" s="116">
        <v>1</v>
      </c>
      <c r="L83" s="119">
        <f>F83*K83</f>
        <v>50000</v>
      </c>
    </row>
    <row r="84" spans="1:14" ht="11.25" customHeight="1" x14ac:dyDescent="0.25">
      <c r="B84" s="19"/>
      <c r="C84" s="5"/>
      <c r="D84" s="20"/>
      <c r="E84" s="4"/>
      <c r="F84" s="170"/>
      <c r="G84" s="4"/>
      <c r="H84" s="116"/>
      <c r="I84" s="117"/>
      <c r="J84" s="4"/>
      <c r="K84" s="116"/>
      <c r="L84" s="119"/>
    </row>
    <row r="85" spans="1:14" ht="12" customHeight="1" x14ac:dyDescent="0.25">
      <c r="B85" s="56" t="s">
        <v>66</v>
      </c>
      <c r="C85" s="59" t="s">
        <v>121</v>
      </c>
      <c r="D85" s="98" t="s">
        <v>189</v>
      </c>
      <c r="E85" s="4"/>
      <c r="F85" s="122">
        <v>250000</v>
      </c>
      <c r="G85" s="4"/>
      <c r="H85" s="116">
        <v>1</v>
      </c>
      <c r="I85" s="117">
        <f>F85*H85</f>
        <v>250000</v>
      </c>
      <c r="J85" s="4"/>
      <c r="K85" s="116">
        <v>0</v>
      </c>
      <c r="L85" s="119">
        <f>F85*K85</f>
        <v>0</v>
      </c>
    </row>
    <row r="86" spans="1:14" ht="29.25" customHeight="1" x14ac:dyDescent="0.25">
      <c r="B86" s="19"/>
      <c r="C86" s="5"/>
      <c r="D86" s="20"/>
      <c r="E86" s="83"/>
      <c r="F86" s="120">
        <f>F79+F81+F83+F85</f>
        <v>320000</v>
      </c>
      <c r="G86" s="83"/>
      <c r="H86" s="35"/>
      <c r="I86" s="121">
        <f>I79+I81+I83+I85</f>
        <v>260000</v>
      </c>
      <c r="J86" s="83"/>
      <c r="K86" s="19"/>
      <c r="L86" s="121">
        <f>L79+L81+L83+L85</f>
        <v>60000</v>
      </c>
    </row>
    <row r="87" spans="1:14" x14ac:dyDescent="0.25">
      <c r="B87" s="56" t="s">
        <v>142</v>
      </c>
      <c r="C87" s="59" t="s">
        <v>33</v>
      </c>
      <c r="D87" s="98" t="s">
        <v>191</v>
      </c>
      <c r="E87" s="4"/>
      <c r="F87" s="122">
        <v>15000</v>
      </c>
      <c r="G87" s="4"/>
      <c r="H87" s="116">
        <v>1</v>
      </c>
      <c r="I87" s="117">
        <f>F87*H87</f>
        <v>15000</v>
      </c>
      <c r="J87" s="4"/>
      <c r="K87" s="116">
        <v>0</v>
      </c>
      <c r="L87" s="119">
        <f>F87*K87</f>
        <v>0</v>
      </c>
    </row>
    <row r="88" spans="1:14" ht="9" customHeight="1" x14ac:dyDescent="0.25">
      <c r="B88" s="16"/>
      <c r="C88" s="17"/>
      <c r="D88" s="45"/>
      <c r="E88" s="7"/>
      <c r="F88" s="74"/>
      <c r="G88" s="7"/>
      <c r="H88" s="48"/>
      <c r="I88" s="87"/>
      <c r="J88" s="7"/>
      <c r="K88" s="48"/>
      <c r="L88" s="18"/>
    </row>
    <row r="89" spans="1:14" x14ac:dyDescent="0.25">
      <c r="B89" s="56" t="s">
        <v>142</v>
      </c>
      <c r="C89" s="59" t="s">
        <v>33</v>
      </c>
      <c r="D89" s="98" t="s">
        <v>192</v>
      </c>
      <c r="E89" s="4"/>
      <c r="F89" s="122">
        <v>15000</v>
      </c>
      <c r="G89" s="4"/>
      <c r="H89" s="116">
        <v>0.5</v>
      </c>
      <c r="I89" s="117">
        <f>F89*H89</f>
        <v>7500</v>
      </c>
      <c r="J89" s="4"/>
      <c r="K89" s="116">
        <v>0.5</v>
      </c>
      <c r="L89" s="119">
        <f>F89*K89</f>
        <v>7500</v>
      </c>
    </row>
    <row r="90" spans="1:14" ht="15.75" thickBot="1" x14ac:dyDescent="0.3">
      <c r="A90" s="5"/>
      <c r="B90" s="21"/>
      <c r="C90" s="22"/>
      <c r="D90" s="23"/>
      <c r="E90" s="29"/>
      <c r="F90" s="140">
        <f>F87+F89</f>
        <v>30000</v>
      </c>
      <c r="G90" s="29"/>
      <c r="H90" s="49"/>
      <c r="I90" s="141">
        <f>I87+I89</f>
        <v>22500</v>
      </c>
      <c r="J90" s="29"/>
      <c r="K90" s="49"/>
      <c r="L90" s="141">
        <f>L87+L89</f>
        <v>7500</v>
      </c>
      <c r="N90" s="2"/>
    </row>
    <row r="91" spans="1:14" ht="7.5" customHeight="1" thickBot="1" x14ac:dyDescent="0.3">
      <c r="A91" s="5"/>
      <c r="B91" s="5"/>
      <c r="C91" s="5"/>
      <c r="D91" s="5"/>
      <c r="E91" s="29"/>
      <c r="F91" s="29"/>
      <c r="G91" s="29"/>
      <c r="H91" s="6"/>
      <c r="I91" s="29"/>
      <c r="J91" s="29"/>
      <c r="K91" s="6"/>
      <c r="L91" s="29"/>
      <c r="N91" s="2"/>
    </row>
    <row r="92" spans="1:14" x14ac:dyDescent="0.25">
      <c r="B92" s="123"/>
      <c r="C92" s="124"/>
      <c r="D92" s="125" t="s">
        <v>53</v>
      </c>
      <c r="E92" s="126"/>
      <c r="F92" s="126">
        <f>F90+F86+F78+F68+F40+F36</f>
        <v>5500000</v>
      </c>
      <c r="G92" s="126"/>
      <c r="H92" s="124"/>
      <c r="I92" s="126">
        <f>I90+I86+I78+I68+I40</f>
        <v>4057500</v>
      </c>
      <c r="J92" s="126"/>
      <c r="K92" s="124"/>
      <c r="L92" s="127">
        <f>L90+L86+L78+L68+L40</f>
        <v>1442500</v>
      </c>
      <c r="N92" s="2"/>
    </row>
    <row r="93" spans="1:14" ht="15.75" thickBot="1" x14ac:dyDescent="0.3">
      <c r="B93" s="56"/>
      <c r="C93" s="59"/>
      <c r="D93" s="128" t="s">
        <v>124</v>
      </c>
      <c r="E93" s="129"/>
      <c r="F93" s="129">
        <f>F92*0.2</f>
        <v>1100000</v>
      </c>
      <c r="G93" s="129"/>
      <c r="H93" s="118"/>
      <c r="I93" s="57"/>
      <c r="J93" s="57"/>
      <c r="K93" s="118"/>
      <c r="L93" s="119"/>
      <c r="N93" s="2"/>
    </row>
    <row r="94" spans="1:14" ht="15.75" thickTop="1" x14ac:dyDescent="0.25">
      <c r="B94" s="56"/>
      <c r="C94" s="59"/>
      <c r="D94" s="130" t="s">
        <v>54</v>
      </c>
      <c r="E94" s="131"/>
      <c r="F94" s="169">
        <f>F92+F93</f>
        <v>6600000</v>
      </c>
      <c r="G94" s="131"/>
      <c r="H94" s="132"/>
      <c r="I94" s="131"/>
      <c r="J94" s="131"/>
      <c r="K94" s="132"/>
      <c r="L94" s="133"/>
      <c r="N94" s="2"/>
    </row>
    <row r="95" spans="1:14" ht="6" customHeight="1" thickBot="1" x14ac:dyDescent="0.3">
      <c r="B95" s="99"/>
      <c r="C95" s="100"/>
      <c r="D95" s="100"/>
      <c r="E95" s="100"/>
      <c r="F95" s="100"/>
      <c r="G95" s="100"/>
      <c r="H95" s="100"/>
      <c r="I95" s="100"/>
      <c r="J95" s="100"/>
      <c r="K95" s="100"/>
      <c r="L95" s="101"/>
    </row>
    <row r="97" spans="5:12" x14ac:dyDescent="0.25">
      <c r="F97" s="167"/>
    </row>
    <row r="99" spans="5:12" x14ac:dyDescent="0.25">
      <c r="E99" s="2"/>
      <c r="F99" s="2"/>
      <c r="G99" s="2"/>
      <c r="J99" s="2"/>
      <c r="L99" s="2"/>
    </row>
    <row r="100" spans="5:12" x14ac:dyDescent="0.25">
      <c r="E100" s="2"/>
      <c r="F100" s="2"/>
      <c r="G100" s="2"/>
      <c r="J100" s="2"/>
    </row>
  </sheetData>
  <mergeCells count="5">
    <mergeCell ref="B4:C4"/>
    <mergeCell ref="A1:B1"/>
    <mergeCell ref="C1:D1"/>
    <mergeCell ref="F1:G1"/>
    <mergeCell ref="H1:I1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21"/>
  <sheetViews>
    <sheetView workbookViewId="0">
      <selection activeCell="B2" sqref="B2"/>
    </sheetView>
  </sheetViews>
  <sheetFormatPr baseColWidth="10" defaultRowHeight="15" x14ac:dyDescent="0.25"/>
  <cols>
    <col min="1" max="1" width="3.140625" style="1" customWidth="1"/>
    <col min="2" max="2" width="44" style="1" customWidth="1"/>
    <col min="3" max="3" width="17.85546875" style="1" customWidth="1"/>
    <col min="4" max="4" width="8.28515625" style="1" customWidth="1"/>
    <col min="5" max="5" width="8" style="1" customWidth="1"/>
    <col min="6" max="6" width="8.140625" style="1" customWidth="1"/>
    <col min="7" max="7" width="7.85546875" style="1" customWidth="1"/>
    <col min="8" max="8" width="8.28515625" style="1" customWidth="1"/>
    <col min="9" max="16384" width="11.42578125" style="1"/>
  </cols>
  <sheetData>
    <row r="1" spans="2:13" ht="27" customHeight="1" x14ac:dyDescent="0.4">
      <c r="B1" s="27"/>
      <c r="C1" s="27"/>
      <c r="D1" s="27"/>
      <c r="E1" s="27"/>
    </row>
    <row r="2" spans="2:13" ht="27" customHeight="1" x14ac:dyDescent="0.6">
      <c r="B2" s="190" t="s">
        <v>97</v>
      </c>
      <c r="C2" s="28"/>
      <c r="D2" s="28"/>
      <c r="E2" s="28"/>
      <c r="F2" s="12"/>
      <c r="G2" s="12"/>
      <c r="H2" s="12"/>
      <c r="I2" s="12"/>
      <c r="J2" s="12"/>
      <c r="K2" s="12"/>
      <c r="L2" s="12"/>
      <c r="M2" s="12"/>
    </row>
    <row r="3" spans="2:13" ht="21.75" customHeight="1" thickBot="1" x14ac:dyDescent="0.5">
      <c r="B3" s="3"/>
      <c r="C3" s="26"/>
      <c r="D3" s="26"/>
      <c r="E3" s="27"/>
      <c r="F3" s="27"/>
    </row>
    <row r="4" spans="2:13" ht="21.75" customHeight="1" x14ac:dyDescent="0.3">
      <c r="B4" s="242" t="s">
        <v>157</v>
      </c>
      <c r="C4" s="243"/>
      <c r="D4" s="243"/>
      <c r="E4" s="243"/>
      <c r="F4" s="243"/>
      <c r="G4" s="243"/>
      <c r="H4" s="244"/>
    </row>
    <row r="5" spans="2:13" ht="11.25" customHeight="1" x14ac:dyDescent="0.3">
      <c r="B5" s="147"/>
      <c r="C5" s="146"/>
      <c r="D5" s="146"/>
      <c r="E5" s="5"/>
      <c r="F5" s="5"/>
      <c r="G5" s="5"/>
      <c r="H5" s="20"/>
    </row>
    <row r="6" spans="2:13" ht="14.25" customHeight="1" x14ac:dyDescent="0.25">
      <c r="B6" s="148"/>
      <c r="C6" s="149"/>
      <c r="D6" s="149" t="s">
        <v>55</v>
      </c>
      <c r="E6" s="149" t="s">
        <v>56</v>
      </c>
      <c r="F6" s="149" t="s">
        <v>57</v>
      </c>
      <c r="G6" s="149" t="s">
        <v>89</v>
      </c>
      <c r="H6" s="150" t="s">
        <v>90</v>
      </c>
    </row>
    <row r="7" spans="2:13" x14ac:dyDescent="0.25">
      <c r="B7" s="245" t="s">
        <v>176</v>
      </c>
      <c r="C7" s="246"/>
      <c r="D7" s="198">
        <v>1</v>
      </c>
      <c r="E7" s="198">
        <v>1</v>
      </c>
      <c r="F7" s="198">
        <v>1</v>
      </c>
      <c r="G7" s="198">
        <v>0</v>
      </c>
      <c r="H7" s="199">
        <v>0</v>
      </c>
    </row>
    <row r="8" spans="2:13" ht="12" customHeight="1" x14ac:dyDescent="0.25">
      <c r="B8" s="154"/>
      <c r="C8" s="151"/>
      <c r="D8" s="151"/>
      <c r="E8" s="151"/>
      <c r="F8" s="151"/>
      <c r="G8" s="151"/>
      <c r="H8" s="152"/>
    </row>
    <row r="9" spans="2:13" x14ac:dyDescent="0.25">
      <c r="B9" s="245" t="s">
        <v>175</v>
      </c>
      <c r="C9" s="246"/>
      <c r="D9" s="247">
        <v>5000000</v>
      </c>
      <c r="E9" s="248"/>
      <c r="F9" s="248"/>
      <c r="G9" s="248"/>
      <c r="H9" s="249"/>
    </row>
    <row r="10" spans="2:13" ht="11.25" customHeight="1" x14ac:dyDescent="0.25">
      <c r="B10" s="103"/>
      <c r="C10" s="59"/>
      <c r="D10" s="153"/>
      <c r="E10" s="153"/>
      <c r="F10" s="153"/>
      <c r="G10" s="153"/>
      <c r="H10" s="117"/>
    </row>
    <row r="11" spans="2:13" x14ac:dyDescent="0.25">
      <c r="B11" s="245" t="s">
        <v>174</v>
      </c>
      <c r="C11" s="246"/>
      <c r="D11" s="250">
        <v>5</v>
      </c>
      <c r="E11" s="251"/>
      <c r="F11" s="251"/>
      <c r="G11" s="251"/>
      <c r="H11" s="252"/>
    </row>
    <row r="12" spans="2:13" hidden="1" x14ac:dyDescent="0.25">
      <c r="B12" s="245" t="s">
        <v>58</v>
      </c>
      <c r="C12" s="246"/>
      <c r="D12" s="155">
        <f>D7</f>
        <v>1</v>
      </c>
      <c r="E12" s="156">
        <f>E7</f>
        <v>1</v>
      </c>
      <c r="F12" s="156">
        <f>F7</f>
        <v>1</v>
      </c>
      <c r="G12" s="156">
        <f>G7</f>
        <v>0</v>
      </c>
      <c r="H12" s="157">
        <f>H7</f>
        <v>0</v>
      </c>
    </row>
    <row r="13" spans="2:13" ht="14.25" customHeight="1" x14ac:dyDescent="0.25">
      <c r="B13" s="154"/>
      <c r="C13" s="151"/>
      <c r="D13" s="151"/>
      <c r="E13" s="151"/>
      <c r="F13" s="151"/>
      <c r="G13" s="151"/>
      <c r="H13" s="152"/>
    </row>
    <row r="14" spans="2:13" x14ac:dyDescent="0.25">
      <c r="B14" s="245" t="s">
        <v>173</v>
      </c>
      <c r="C14" s="259"/>
      <c r="D14" s="250">
        <v>100000</v>
      </c>
      <c r="E14" s="251"/>
      <c r="F14" s="251"/>
      <c r="G14" s="251"/>
      <c r="H14" s="252"/>
    </row>
    <row r="15" spans="2:13" ht="11.25" customHeight="1" x14ac:dyDescent="0.25">
      <c r="B15" s="154"/>
      <c r="C15" s="151"/>
      <c r="D15" s="151"/>
      <c r="E15" s="151"/>
      <c r="F15" s="151"/>
      <c r="G15" s="151"/>
      <c r="H15" s="152"/>
    </row>
    <row r="16" spans="2:13" x14ac:dyDescent="0.25">
      <c r="B16" s="245" t="s">
        <v>170</v>
      </c>
      <c r="C16" s="259"/>
      <c r="D16" s="253">
        <v>2.5000000000000001E-2</v>
      </c>
      <c r="E16" s="254"/>
      <c r="F16" s="254"/>
      <c r="G16" s="254"/>
      <c r="H16" s="255"/>
    </row>
    <row r="17" spans="2:8" ht="11.25" customHeight="1" x14ac:dyDescent="0.25">
      <c r="B17" s="154"/>
      <c r="C17" s="151"/>
      <c r="D17" s="151"/>
      <c r="E17" s="151"/>
      <c r="F17" s="151"/>
      <c r="G17" s="151"/>
      <c r="H17" s="152"/>
    </row>
    <row r="18" spans="2:8" x14ac:dyDescent="0.25">
      <c r="B18" s="245" t="s">
        <v>172</v>
      </c>
      <c r="C18" s="259"/>
      <c r="D18" s="256">
        <v>0.4</v>
      </c>
      <c r="E18" s="257"/>
      <c r="F18" s="257"/>
      <c r="G18" s="257"/>
      <c r="H18" s="258"/>
    </row>
    <row r="19" spans="2:8" ht="11.25" customHeight="1" x14ac:dyDescent="0.25">
      <c r="B19" s="154"/>
      <c r="C19" s="151"/>
      <c r="D19" s="151"/>
      <c r="E19" s="151"/>
      <c r="F19" s="151"/>
      <c r="G19" s="151"/>
      <c r="H19" s="152"/>
    </row>
    <row r="20" spans="2:8" x14ac:dyDescent="0.25">
      <c r="B20" s="245" t="s">
        <v>171</v>
      </c>
      <c r="C20" s="259"/>
      <c r="D20" s="247">
        <v>100000</v>
      </c>
      <c r="E20" s="248"/>
      <c r="F20" s="248"/>
      <c r="G20" s="248"/>
      <c r="H20" s="249"/>
    </row>
    <row r="21" spans="2:8" ht="12" customHeight="1" thickBot="1" x14ac:dyDescent="0.3">
      <c r="B21" s="21"/>
      <c r="C21" s="22"/>
      <c r="D21" s="22"/>
      <c r="E21" s="22"/>
      <c r="F21" s="22"/>
      <c r="G21" s="22"/>
      <c r="H21" s="23"/>
    </row>
  </sheetData>
  <mergeCells count="15">
    <mergeCell ref="B12:C12"/>
    <mergeCell ref="D14:H14"/>
    <mergeCell ref="D16:H16"/>
    <mergeCell ref="D18:H18"/>
    <mergeCell ref="D20:H20"/>
    <mergeCell ref="B14:C14"/>
    <mergeCell ref="B16:C16"/>
    <mergeCell ref="B18:C18"/>
    <mergeCell ref="B20:C20"/>
    <mergeCell ref="B4:H4"/>
    <mergeCell ref="B7:C7"/>
    <mergeCell ref="D9:H9"/>
    <mergeCell ref="D11:H11"/>
    <mergeCell ref="B9:C9"/>
    <mergeCell ref="B11:C11"/>
  </mergeCells>
  <pageMargins left="0.7" right="0.7" top="0.75" bottom="0.75" header="0.3" footer="0.3"/>
  <pageSetup paperSize="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'(not reading)'!$C$3:$C$8</xm:f>
          </x14:formula1>
          <xm:sqref>D14</xm:sqref>
        </x14:dataValidation>
        <x14:dataValidation type="list" allowBlank="1" showInputMessage="1" showErrorMessage="1">
          <x14:formula1>
            <xm:f>'(not reading)'!$D$3:$D$11</xm:f>
          </x14:formula1>
          <xm:sqref>D16:H16</xm:sqref>
        </x14:dataValidation>
        <x14:dataValidation type="list" allowBlank="1" showInputMessage="1" showErrorMessage="1">
          <x14:formula1>
            <xm:f>'(not reading)'!$E$3:$E$9</xm:f>
          </x14:formula1>
          <xm:sqref>D18</xm:sqref>
        </x14:dataValidation>
        <x14:dataValidation type="list" allowBlank="1" showInputMessage="1" showErrorMessage="1">
          <x14:formula1>
            <xm:f>'(not reading)'!$G$3:$G$52</xm:f>
          </x14:formula1>
          <xm:sqref>E7:H8 D7</xm:sqref>
        </x14:dataValidation>
        <x14:dataValidation type="list" allowBlank="1" showInputMessage="1" showErrorMessage="1">
          <x14:formula1>
            <xm:f>'(not reading)'!$I$3:$I$10</xm:f>
          </x14:formula1>
          <xm:sqref>D11</xm:sqref>
        </x14:dataValidation>
        <x14:dataValidation type="list" allowBlank="1" showInputMessage="1" showErrorMessage="1">
          <x14:formula1>
            <xm:f>'(not reading)'!$H$3:$H$12</xm:f>
          </x14:formula1>
          <xm:sqref>D9:D10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B1:AO23"/>
  <sheetViews>
    <sheetView zoomScale="90" zoomScaleNormal="90" workbookViewId="0">
      <selection activeCell="B2" sqref="B2"/>
    </sheetView>
  </sheetViews>
  <sheetFormatPr baseColWidth="10" defaultRowHeight="15" x14ac:dyDescent="0.25"/>
  <cols>
    <col min="1" max="1" width="2" style="1" customWidth="1"/>
    <col min="2" max="2" width="46" style="1" customWidth="1"/>
    <col min="3" max="4" width="15" style="1" bestFit="1" customWidth="1"/>
    <col min="5" max="5" width="16" style="1" bestFit="1" customWidth="1"/>
    <col min="6" max="6" width="16.42578125" style="1" bestFit="1" customWidth="1"/>
    <col min="7" max="9" width="17.140625" style="1" bestFit="1" customWidth="1"/>
    <col min="10" max="12" width="17.140625" style="1" customWidth="1"/>
    <col min="13" max="13" width="2.85546875" style="1" customWidth="1"/>
    <col min="14" max="14" width="21.5703125" style="1" customWidth="1"/>
    <col min="15" max="15" width="2" style="1" customWidth="1"/>
    <col min="16" max="16" width="2.28515625" style="1" customWidth="1"/>
    <col min="17" max="17" width="2.5703125" style="1" customWidth="1"/>
    <col min="18" max="18" width="9.5703125" style="1" customWidth="1"/>
    <col min="19" max="19" width="2.28515625" style="1" customWidth="1"/>
    <col min="20" max="20" width="9.7109375" style="1" customWidth="1"/>
    <col min="21" max="21" width="2" style="1" customWidth="1"/>
    <col min="22" max="22" width="9.7109375" style="1" customWidth="1"/>
    <col min="23" max="23" width="1.5703125" style="1" customWidth="1"/>
    <col min="24" max="24" width="9.5703125" style="1" customWidth="1"/>
    <col min="25" max="25" width="1.5703125" style="1" customWidth="1"/>
    <col min="26" max="26" width="9.5703125" style="1" customWidth="1"/>
    <col min="27" max="27" width="1.5703125" style="1" customWidth="1"/>
    <col min="28" max="28" width="9.5703125" style="1" customWidth="1"/>
    <col min="29" max="29" width="1.5703125" style="1" customWidth="1"/>
    <col min="30" max="30" width="9.5703125" style="1" customWidth="1"/>
    <col min="31" max="31" width="1.7109375" style="1" customWidth="1"/>
    <col min="32" max="32" width="9.5703125" style="1" customWidth="1"/>
    <col min="33" max="33" width="1.7109375" style="1" customWidth="1"/>
    <col min="34" max="34" width="9.5703125" style="1" customWidth="1"/>
    <col min="35" max="35" width="2" style="1" customWidth="1"/>
    <col min="36" max="36" width="9.5703125" style="1" customWidth="1"/>
    <col min="37" max="37" width="2.42578125" style="1" customWidth="1"/>
    <col min="38" max="38" width="11.140625" style="1" customWidth="1"/>
    <col min="39" max="39" width="2" style="1" customWidth="1"/>
    <col min="40" max="40" width="11.42578125" style="1" customWidth="1"/>
    <col min="41" max="41" width="17.140625" style="1" customWidth="1"/>
    <col min="42" max="42" width="16.5703125" style="1" customWidth="1"/>
    <col min="43" max="43" width="16.7109375" style="1" customWidth="1"/>
    <col min="44" max="45" width="16.85546875" style="1" customWidth="1"/>
    <col min="46" max="46" width="16.7109375" style="1" customWidth="1"/>
    <col min="47" max="47" width="17" style="1" customWidth="1"/>
    <col min="48" max="48" width="16.85546875" style="1" customWidth="1"/>
    <col min="49" max="16384" width="11.42578125" style="1"/>
  </cols>
  <sheetData>
    <row r="1" spans="2:39" ht="22.5" customHeight="1" x14ac:dyDescent="0.25"/>
    <row r="2" spans="2:39" ht="44.25" customHeight="1" x14ac:dyDescent="0.6">
      <c r="B2" s="190" t="s">
        <v>186</v>
      </c>
      <c r="C2" s="12"/>
      <c r="D2" s="12"/>
      <c r="E2" s="12"/>
      <c r="F2" s="12"/>
      <c r="G2" s="12"/>
      <c r="H2" s="12"/>
      <c r="I2" s="12"/>
      <c r="R2" s="209" t="s">
        <v>187</v>
      </c>
    </row>
    <row r="3" spans="2:39" ht="13.5" customHeight="1" thickBot="1" x14ac:dyDescent="0.45">
      <c r="B3" s="50"/>
      <c r="C3" s="50"/>
      <c r="D3" s="50"/>
      <c r="E3" s="27"/>
      <c r="F3" s="27"/>
      <c r="G3" s="2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W3" s="5"/>
      <c r="Y3" s="5"/>
      <c r="AA3" s="5"/>
      <c r="AC3" s="5"/>
    </row>
    <row r="4" spans="2:39" ht="15.75" thickBot="1" x14ac:dyDescent="0.3">
      <c r="B4" s="86" t="s">
        <v>76</v>
      </c>
      <c r="C4" s="81" t="s">
        <v>71</v>
      </c>
      <c r="D4" s="81" t="s">
        <v>72</v>
      </c>
      <c r="E4" s="81" t="s">
        <v>73</v>
      </c>
      <c r="F4" s="81" t="s">
        <v>74</v>
      </c>
      <c r="G4" s="81" t="s">
        <v>75</v>
      </c>
      <c r="H4" s="81" t="s">
        <v>87</v>
      </c>
      <c r="I4" s="81" t="s">
        <v>88</v>
      </c>
      <c r="J4" s="81" t="s">
        <v>125</v>
      </c>
      <c r="K4" s="81" t="s">
        <v>126</v>
      </c>
      <c r="L4" s="81" t="s">
        <v>127</v>
      </c>
      <c r="M4" s="51"/>
      <c r="N4" s="81" t="s">
        <v>85</v>
      </c>
      <c r="O4" s="66"/>
      <c r="P4" s="5"/>
      <c r="Q4" s="90"/>
      <c r="R4" s="81" t="s">
        <v>71</v>
      </c>
      <c r="S4" s="33"/>
      <c r="T4" s="81" t="s">
        <v>72</v>
      </c>
      <c r="U4" s="33"/>
      <c r="V4" s="81" t="s">
        <v>73</v>
      </c>
      <c r="W4" s="33"/>
      <c r="X4" s="81" t="s">
        <v>74</v>
      </c>
      <c r="Y4" s="33"/>
      <c r="Z4" s="81" t="s">
        <v>75</v>
      </c>
      <c r="AA4" s="33"/>
      <c r="AB4" s="81" t="s">
        <v>87</v>
      </c>
      <c r="AC4" s="33"/>
      <c r="AD4" s="81" t="s">
        <v>88</v>
      </c>
      <c r="AE4" s="33"/>
      <c r="AF4" s="81" t="s">
        <v>125</v>
      </c>
      <c r="AG4" s="33"/>
      <c r="AH4" s="81" t="s">
        <v>128</v>
      </c>
      <c r="AI4" s="33"/>
      <c r="AJ4" s="81" t="s">
        <v>127</v>
      </c>
      <c r="AK4" s="33"/>
      <c r="AL4" s="111" t="s">
        <v>85</v>
      </c>
      <c r="AM4" s="34"/>
    </row>
    <row r="5" spans="2:39" x14ac:dyDescent="0.25">
      <c r="B5" s="62" t="s">
        <v>77</v>
      </c>
      <c r="C5" s="63">
        <v>0</v>
      </c>
      <c r="D5" s="63">
        <v>0</v>
      </c>
      <c r="E5" s="57">
        <f>Income!F12</f>
        <v>25000000</v>
      </c>
      <c r="F5" s="57">
        <f>Income!G12</f>
        <v>25000000</v>
      </c>
      <c r="G5" s="57">
        <f>Income!H12</f>
        <v>25000000</v>
      </c>
      <c r="H5" s="57">
        <f>Income!I12</f>
        <v>0</v>
      </c>
      <c r="I5" s="57">
        <f>Income!K12</f>
        <v>0</v>
      </c>
      <c r="J5" s="57">
        <f>Income!L12</f>
        <v>0</v>
      </c>
      <c r="K5" s="57">
        <f>Income!M12</f>
        <v>0</v>
      </c>
      <c r="L5" s="57">
        <f>Income!M12</f>
        <v>0</v>
      </c>
      <c r="M5" s="8"/>
      <c r="N5" s="57">
        <f>SUM(C5:L5)</f>
        <v>75000000</v>
      </c>
      <c r="O5" s="18"/>
      <c r="P5" s="5"/>
      <c r="Q5" s="19"/>
      <c r="R5" s="5"/>
      <c r="S5" s="5"/>
      <c r="T5" s="5"/>
      <c r="U5" s="5"/>
      <c r="V5" s="260"/>
      <c r="W5" s="260"/>
      <c r="X5" s="260"/>
      <c r="Y5" s="260"/>
      <c r="Z5" s="260"/>
      <c r="AA5" s="260"/>
      <c r="AB5" s="260"/>
      <c r="AC5" s="260"/>
      <c r="AD5" s="260"/>
      <c r="AE5" s="5"/>
      <c r="AF5" s="5"/>
      <c r="AG5" s="5"/>
      <c r="AH5" s="5"/>
      <c r="AI5" s="5"/>
      <c r="AJ5" s="5"/>
      <c r="AK5" s="5"/>
      <c r="AL5" s="5"/>
      <c r="AM5" s="20"/>
    </row>
    <row r="6" spans="2:39" ht="15" customHeight="1" thickBot="1" x14ac:dyDescent="0.3">
      <c r="B6" s="62" t="s">
        <v>78</v>
      </c>
      <c r="C6" s="64">
        <v>0</v>
      </c>
      <c r="D6" s="64">
        <v>0</v>
      </c>
      <c r="E6" s="60">
        <f>Income!G23</f>
        <v>0</v>
      </c>
      <c r="F6" s="60"/>
      <c r="G6" s="60">
        <f>Income!H23</f>
        <v>17500000</v>
      </c>
      <c r="H6" s="60">
        <f>Income!I23</f>
        <v>52500000</v>
      </c>
      <c r="I6" s="60">
        <f>Income!J23</f>
        <v>105000000</v>
      </c>
      <c r="J6" s="60">
        <f>Income!K23</f>
        <v>157500000</v>
      </c>
      <c r="K6" s="60">
        <f>Income!L23</f>
        <v>192500000</v>
      </c>
      <c r="L6" s="60">
        <f>Income!M23</f>
        <v>210000000</v>
      </c>
      <c r="M6" s="4"/>
      <c r="N6" s="57">
        <f>SUM(C6:L6)</f>
        <v>735000000</v>
      </c>
      <c r="O6" s="18"/>
      <c r="P6" s="5"/>
      <c r="Q6" s="19"/>
      <c r="R6" s="261" t="s">
        <v>86</v>
      </c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3"/>
      <c r="AK6" s="5"/>
      <c r="AL6" s="5"/>
      <c r="AM6" s="20"/>
    </row>
    <row r="7" spans="2:39" ht="15" customHeight="1" thickBot="1" x14ac:dyDescent="0.3">
      <c r="B7" s="103" t="s">
        <v>81</v>
      </c>
      <c r="C7" s="104">
        <v>0</v>
      </c>
      <c r="D7" s="104">
        <v>0</v>
      </c>
      <c r="E7" s="105">
        <f>E5+E6</f>
        <v>25000000</v>
      </c>
      <c r="F7" s="105">
        <f t="shared" ref="F7:L7" si="0">F5+F6</f>
        <v>25000000</v>
      </c>
      <c r="G7" s="105">
        <f t="shared" si="0"/>
        <v>42500000</v>
      </c>
      <c r="H7" s="105">
        <f t="shared" si="0"/>
        <v>52500000</v>
      </c>
      <c r="I7" s="105">
        <f t="shared" si="0"/>
        <v>105000000</v>
      </c>
      <c r="J7" s="105">
        <f t="shared" si="0"/>
        <v>157500000</v>
      </c>
      <c r="K7" s="105">
        <f t="shared" si="0"/>
        <v>192500000</v>
      </c>
      <c r="L7" s="105">
        <f t="shared" si="0"/>
        <v>210000000</v>
      </c>
      <c r="M7" s="8"/>
      <c r="N7" s="95">
        <f>N5+N6</f>
        <v>810000000</v>
      </c>
      <c r="O7" s="18"/>
      <c r="P7" s="5"/>
      <c r="Q7" s="19"/>
      <c r="R7" s="211">
        <v>0</v>
      </c>
      <c r="S7" s="12"/>
      <c r="T7" s="182">
        <v>0</v>
      </c>
      <c r="U7" s="12"/>
      <c r="V7" s="182">
        <v>1</v>
      </c>
      <c r="W7" s="12"/>
      <c r="X7" s="182">
        <v>1</v>
      </c>
      <c r="Y7" s="12"/>
      <c r="Z7" s="182">
        <v>1</v>
      </c>
      <c r="AA7" s="12"/>
      <c r="AB7" s="182">
        <v>1</v>
      </c>
      <c r="AC7" s="12"/>
      <c r="AD7" s="182">
        <v>1</v>
      </c>
      <c r="AE7" s="12"/>
      <c r="AF7" s="182">
        <v>1</v>
      </c>
      <c r="AG7" s="12"/>
      <c r="AH7" s="182">
        <v>1</v>
      </c>
      <c r="AI7" s="12"/>
      <c r="AJ7" s="183">
        <v>1</v>
      </c>
      <c r="AK7" s="5"/>
      <c r="AL7" s="65">
        <v>1</v>
      </c>
      <c r="AM7" s="20"/>
    </row>
    <row r="8" spans="2:39" ht="15.75" thickBot="1" x14ac:dyDescent="0.3">
      <c r="B8" s="1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0"/>
      <c r="P8" s="5"/>
      <c r="Q8" s="19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0"/>
    </row>
    <row r="9" spans="2:39" x14ac:dyDescent="0.25">
      <c r="B9" s="210" t="s">
        <v>91</v>
      </c>
      <c r="C9" s="81" t="s">
        <v>71</v>
      </c>
      <c r="D9" s="81" t="s">
        <v>72</v>
      </c>
      <c r="E9" s="81" t="s">
        <v>73</v>
      </c>
      <c r="F9" s="81" t="s">
        <v>74</v>
      </c>
      <c r="G9" s="81" t="s">
        <v>75</v>
      </c>
      <c r="H9" s="81" t="s">
        <v>87</v>
      </c>
      <c r="I9" s="81" t="s">
        <v>88</v>
      </c>
      <c r="J9" s="81" t="s">
        <v>125</v>
      </c>
      <c r="K9" s="81" t="s">
        <v>126</v>
      </c>
      <c r="L9" s="81" t="s">
        <v>127</v>
      </c>
      <c r="M9" s="5"/>
      <c r="N9" s="81" t="s">
        <v>85</v>
      </c>
      <c r="O9" s="20"/>
      <c r="P9" s="5"/>
      <c r="Q9" s="19"/>
      <c r="R9" s="264" t="s">
        <v>91</v>
      </c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6"/>
      <c r="AK9" s="5"/>
      <c r="AL9" s="5"/>
      <c r="AM9" s="20"/>
    </row>
    <row r="10" spans="2:39" x14ac:dyDescent="0.25">
      <c r="B10" s="56"/>
      <c r="C10" s="57"/>
      <c r="D10" s="57"/>
      <c r="E10" s="59"/>
      <c r="F10" s="59"/>
      <c r="G10" s="59"/>
      <c r="H10" s="59"/>
      <c r="I10" s="59"/>
      <c r="J10" s="59"/>
      <c r="K10" s="59"/>
      <c r="L10" s="59"/>
      <c r="M10" s="5"/>
      <c r="N10" s="59"/>
      <c r="O10" s="20"/>
      <c r="P10" s="5"/>
      <c r="Q10" s="19"/>
      <c r="R10" s="112"/>
      <c r="S10" s="5"/>
      <c r="T10" s="5"/>
      <c r="U10" s="5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80"/>
      <c r="AK10" s="5"/>
      <c r="AL10" s="5"/>
      <c r="AM10" s="20"/>
    </row>
    <row r="11" spans="2:39" ht="15.75" thickBot="1" x14ac:dyDescent="0.3">
      <c r="B11" s="56" t="s">
        <v>156</v>
      </c>
      <c r="C11" s="60">
        <v>0</v>
      </c>
      <c r="D11" s="60">
        <v>0</v>
      </c>
      <c r="E11" s="61">
        <f>'Mining F. Expenses'!W19</f>
        <v>19668400</v>
      </c>
      <c r="F11" s="61">
        <f>'Mining F. Expenses'!W19</f>
        <v>19668400</v>
      </c>
      <c r="G11" s="61">
        <f>'Mining F. Expenses'!W19</f>
        <v>19668400</v>
      </c>
      <c r="H11" s="61">
        <f>'Mining F. Expenses'!W19</f>
        <v>19668400</v>
      </c>
      <c r="I11" s="61">
        <f>'Mining F. Expenses'!W19</f>
        <v>19668400</v>
      </c>
      <c r="J11" s="61"/>
      <c r="K11" s="61"/>
      <c r="L11" s="61"/>
      <c r="M11" s="5"/>
      <c r="N11" s="59"/>
      <c r="O11" s="20"/>
      <c r="P11" s="5"/>
      <c r="Q11" s="19"/>
      <c r="R11" s="112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113"/>
      <c r="AK11" s="5"/>
      <c r="AL11" s="5"/>
      <c r="AM11" s="20"/>
    </row>
    <row r="12" spans="2:39" ht="16.5" thickBot="1" x14ac:dyDescent="0.3">
      <c r="B12" s="103" t="s">
        <v>82</v>
      </c>
      <c r="C12" s="106">
        <f>SUM(C10:C11)</f>
        <v>0</v>
      </c>
      <c r="D12" s="106">
        <f t="shared" ref="D12:L12" si="1">SUM(D10:D11)</f>
        <v>0</v>
      </c>
      <c r="E12" s="106">
        <f t="shared" si="1"/>
        <v>19668400</v>
      </c>
      <c r="F12" s="106">
        <f t="shared" si="1"/>
        <v>19668400</v>
      </c>
      <c r="G12" s="106">
        <f t="shared" si="1"/>
        <v>19668400</v>
      </c>
      <c r="H12" s="106">
        <f t="shared" si="1"/>
        <v>19668400</v>
      </c>
      <c r="I12" s="106">
        <f t="shared" si="1"/>
        <v>19668400</v>
      </c>
      <c r="J12" s="106">
        <f t="shared" si="1"/>
        <v>0</v>
      </c>
      <c r="K12" s="106">
        <f t="shared" si="1"/>
        <v>0</v>
      </c>
      <c r="L12" s="106">
        <f t="shared" si="1"/>
        <v>0</v>
      </c>
      <c r="M12" s="52"/>
      <c r="N12" s="57">
        <f>SUM(C12:L12)</f>
        <v>98342000</v>
      </c>
      <c r="O12" s="18"/>
      <c r="P12" s="5"/>
      <c r="Q12" s="19"/>
      <c r="R12" s="212">
        <v>0</v>
      </c>
      <c r="S12" s="12"/>
      <c r="T12" s="181">
        <v>0</v>
      </c>
      <c r="U12" s="12"/>
      <c r="V12" s="181">
        <f>E12/E7</f>
        <v>0.78673599999999999</v>
      </c>
      <c r="W12" s="12"/>
      <c r="X12" s="181">
        <f>F12/F7</f>
        <v>0.78673599999999999</v>
      </c>
      <c r="Y12" s="12"/>
      <c r="Z12" s="181">
        <f>G12/G7</f>
        <v>0.46278588235294116</v>
      </c>
      <c r="AA12" s="12"/>
      <c r="AB12" s="181">
        <f>H12/H7</f>
        <v>0.37463619047619046</v>
      </c>
      <c r="AC12" s="12"/>
      <c r="AD12" s="181">
        <f>I12/I7</f>
        <v>0.18731809523809523</v>
      </c>
      <c r="AE12" s="12"/>
      <c r="AF12" s="185">
        <f>J12/J7</f>
        <v>0</v>
      </c>
      <c r="AG12" s="12"/>
      <c r="AH12" s="182">
        <f>K12/K7</f>
        <v>0</v>
      </c>
      <c r="AI12" s="12"/>
      <c r="AJ12" s="183">
        <f>L12/L7</f>
        <v>0</v>
      </c>
      <c r="AK12" s="5"/>
      <c r="AL12" s="55">
        <f>N12/N7</f>
        <v>0.12140987654320988</v>
      </c>
      <c r="AM12" s="20"/>
    </row>
    <row r="13" spans="2:39" ht="15.75" thickBot="1" x14ac:dyDescent="0.3">
      <c r="B13" s="1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20"/>
      <c r="P13" s="5"/>
      <c r="Q13" s="19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20"/>
    </row>
    <row r="14" spans="2:39" x14ac:dyDescent="0.25">
      <c r="B14" s="210" t="s">
        <v>79</v>
      </c>
      <c r="C14" s="81" t="s">
        <v>71</v>
      </c>
      <c r="D14" s="81" t="s">
        <v>72</v>
      </c>
      <c r="E14" s="81" t="s">
        <v>73</v>
      </c>
      <c r="F14" s="81" t="s">
        <v>74</v>
      </c>
      <c r="G14" s="81" t="s">
        <v>75</v>
      </c>
      <c r="H14" s="81" t="s">
        <v>87</v>
      </c>
      <c r="I14" s="81" t="s">
        <v>88</v>
      </c>
      <c r="J14" s="81" t="s">
        <v>125</v>
      </c>
      <c r="K14" s="81" t="s">
        <v>126</v>
      </c>
      <c r="L14" s="81" t="s">
        <v>127</v>
      </c>
      <c r="M14" s="5"/>
      <c r="N14" s="81" t="s">
        <v>85</v>
      </c>
      <c r="O14" s="37"/>
      <c r="P14" s="5"/>
      <c r="Q14" s="19"/>
      <c r="R14" s="261" t="s">
        <v>79</v>
      </c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3"/>
      <c r="AK14" s="5"/>
      <c r="AL14" s="5"/>
      <c r="AM14" s="20"/>
    </row>
    <row r="15" spans="2:39" x14ac:dyDescent="0.25">
      <c r="B15" s="56" t="s">
        <v>80</v>
      </c>
      <c r="C15" s="57">
        <f>'Investment Allocation'!I92</f>
        <v>4057500</v>
      </c>
      <c r="D15" s="57">
        <f>'Investment Allocation'!L92</f>
        <v>1442500</v>
      </c>
      <c r="E15" s="57">
        <f>'Corporate Expenses'!F45</f>
        <v>2895000</v>
      </c>
      <c r="F15" s="57">
        <f>'Corporate Expenses'!H45</f>
        <v>1895000</v>
      </c>
      <c r="G15" s="57">
        <f>'Corporate Expenses'!J45</f>
        <v>2895000</v>
      </c>
      <c r="H15" s="57">
        <f>'Corporate Expenses'!L45</f>
        <v>1895000</v>
      </c>
      <c r="I15" s="57">
        <f>'Corporate Expenses'!N45</f>
        <v>2895000</v>
      </c>
      <c r="J15" s="57">
        <f>'Corporate Expenses'!P45</f>
        <v>1895000</v>
      </c>
      <c r="K15" s="57">
        <f>'Corporate Expenses'!R45</f>
        <v>2895000</v>
      </c>
      <c r="L15" s="57">
        <f>'Corporate Expenses'!T45</f>
        <v>1895000</v>
      </c>
      <c r="M15" s="8"/>
      <c r="N15" s="57">
        <f>SUM(C15:L15)</f>
        <v>24660000</v>
      </c>
      <c r="O15" s="18"/>
      <c r="P15" s="5"/>
      <c r="Q15" s="19"/>
      <c r="R15" s="112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113"/>
      <c r="AK15" s="5"/>
      <c r="AL15" s="5"/>
      <c r="AM15" s="20"/>
    </row>
    <row r="16" spans="2:39" ht="15.75" thickBot="1" x14ac:dyDescent="0.3">
      <c r="B16" s="62" t="s">
        <v>68</v>
      </c>
      <c r="C16" s="64">
        <v>0</v>
      </c>
      <c r="D16" s="64">
        <v>0</v>
      </c>
      <c r="E16" s="60"/>
      <c r="F16" s="60">
        <v>0</v>
      </c>
      <c r="G16" s="60">
        <f>'Mining F. Expenses'!J11</f>
        <v>3500000</v>
      </c>
      <c r="H16" s="60">
        <f>'Mining F. Expenses'!K11</f>
        <v>10500000</v>
      </c>
      <c r="I16" s="60">
        <f>'Mining F. Expenses'!L11</f>
        <v>21000000</v>
      </c>
      <c r="J16" s="58">
        <f>'Mining F. Expenses'!M11</f>
        <v>31500000</v>
      </c>
      <c r="K16" s="58">
        <f>'Mining F. Expenses'!N11</f>
        <v>38500000</v>
      </c>
      <c r="L16" s="58">
        <f>'Mining F. Expenses'!O11</f>
        <v>42000000</v>
      </c>
      <c r="M16" s="4"/>
      <c r="N16" s="57">
        <f>SUM(C16:L16)</f>
        <v>147000000</v>
      </c>
      <c r="O16" s="18"/>
      <c r="P16" s="5"/>
      <c r="Q16" s="19"/>
      <c r="R16" s="112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13"/>
      <c r="AK16" s="5"/>
      <c r="AL16" s="5"/>
      <c r="AM16" s="20"/>
    </row>
    <row r="17" spans="2:41" ht="16.5" thickBot="1" x14ac:dyDescent="0.3">
      <c r="B17" s="103" t="s">
        <v>83</v>
      </c>
      <c r="C17" s="106">
        <f>SUM(C15:C16)</f>
        <v>4057500</v>
      </c>
      <c r="D17" s="106">
        <f>SUM(D15:D16)</f>
        <v>1442500</v>
      </c>
      <c r="E17" s="106">
        <f>SUM(E15:E16)</f>
        <v>2895000</v>
      </c>
      <c r="F17" s="106">
        <f>SUM(F15:F16)</f>
        <v>1895000</v>
      </c>
      <c r="G17" s="106">
        <f t="shared" ref="G17" si="2">SUM(G15:G16)</f>
        <v>6395000</v>
      </c>
      <c r="H17" s="106">
        <f>SUM(H15:H16)</f>
        <v>12395000</v>
      </c>
      <c r="I17" s="106">
        <f>SUM(I15:I16)</f>
        <v>23895000</v>
      </c>
      <c r="J17" s="106">
        <f>SUM(J15:J16)</f>
        <v>33395000</v>
      </c>
      <c r="K17" s="106">
        <f t="shared" ref="K17" si="3">SUM(K15:K16)</f>
        <v>41395000</v>
      </c>
      <c r="L17" s="106">
        <f>SUM(L15:L16)</f>
        <v>43895000</v>
      </c>
      <c r="M17" s="52"/>
      <c r="N17" s="107">
        <f>SUM(N15:N16)</f>
        <v>171660000</v>
      </c>
      <c r="O17" s="67"/>
      <c r="P17" s="5"/>
      <c r="Q17" s="19"/>
      <c r="R17" s="212">
        <v>0</v>
      </c>
      <c r="S17" s="12"/>
      <c r="T17" s="181">
        <v>0</v>
      </c>
      <c r="U17" s="12"/>
      <c r="V17" s="181">
        <f>E17/E7</f>
        <v>0.1158</v>
      </c>
      <c r="W17" s="12"/>
      <c r="X17" s="181">
        <f>F17/F7</f>
        <v>7.5800000000000006E-2</v>
      </c>
      <c r="Y17" s="12"/>
      <c r="Z17" s="181">
        <f>G17/G7</f>
        <v>0.15047058823529411</v>
      </c>
      <c r="AA17" s="12"/>
      <c r="AB17" s="181">
        <f>H17/H7</f>
        <v>0.23609523809523811</v>
      </c>
      <c r="AC17" s="12"/>
      <c r="AD17" s="181">
        <f>I17/I7</f>
        <v>0.22757142857142856</v>
      </c>
      <c r="AE17" s="12"/>
      <c r="AF17" s="185">
        <f>J17/J7</f>
        <v>0.21203174603174604</v>
      </c>
      <c r="AG17" s="12"/>
      <c r="AH17" s="185">
        <f>K17/K7</f>
        <v>0.21503896103896103</v>
      </c>
      <c r="AI17" s="12"/>
      <c r="AJ17" s="186">
        <f>L17/L7</f>
        <v>0.20902380952380953</v>
      </c>
      <c r="AK17" s="5"/>
      <c r="AL17" s="55">
        <f>N17/N7</f>
        <v>0.21192592592592593</v>
      </c>
      <c r="AM17" s="20"/>
    </row>
    <row r="18" spans="2:41" ht="23.25" customHeight="1" x14ac:dyDescent="0.25">
      <c r="B18" s="5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0"/>
      <c r="P18" s="5"/>
      <c r="Q18" s="19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73"/>
      <c r="AD18" s="5"/>
      <c r="AE18" s="5"/>
      <c r="AF18" s="5"/>
      <c r="AG18" s="5"/>
      <c r="AH18" s="5"/>
      <c r="AI18" s="5"/>
      <c r="AJ18" s="5"/>
      <c r="AK18" s="5"/>
      <c r="AL18" s="5"/>
      <c r="AM18" s="20"/>
    </row>
    <row r="19" spans="2:41" ht="15" customHeight="1" thickBot="1" x14ac:dyDescent="0.3">
      <c r="B19" s="5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0"/>
      <c r="P19" s="5"/>
      <c r="Q19" s="19"/>
      <c r="R19" s="261" t="s">
        <v>92</v>
      </c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3"/>
      <c r="AK19" s="5"/>
      <c r="AL19" s="5"/>
      <c r="AM19" s="20"/>
    </row>
    <row r="20" spans="2:41" ht="16.5" thickBot="1" x14ac:dyDescent="0.3">
      <c r="B20" s="115" t="s">
        <v>84</v>
      </c>
      <c r="C20" s="70">
        <f t="shared" ref="C20:L20" si="4">C7-C12-C17</f>
        <v>-4057500</v>
      </c>
      <c r="D20" s="71">
        <f t="shared" si="4"/>
        <v>-1442500</v>
      </c>
      <c r="E20" s="108">
        <f t="shared" si="4"/>
        <v>2436600</v>
      </c>
      <c r="F20" s="108">
        <f t="shared" si="4"/>
        <v>3436600</v>
      </c>
      <c r="G20" s="108">
        <f t="shared" si="4"/>
        <v>16436600</v>
      </c>
      <c r="H20" s="108">
        <f t="shared" si="4"/>
        <v>20436600</v>
      </c>
      <c r="I20" s="109">
        <f t="shared" si="4"/>
        <v>61436600</v>
      </c>
      <c r="J20" s="109">
        <f t="shared" si="4"/>
        <v>124105000</v>
      </c>
      <c r="K20" s="109">
        <f t="shared" si="4"/>
        <v>151105000</v>
      </c>
      <c r="L20" s="109">
        <f t="shared" si="4"/>
        <v>166105000</v>
      </c>
      <c r="M20" s="54"/>
      <c r="N20" s="110">
        <f>N7-N12-N17</f>
        <v>539998000</v>
      </c>
      <c r="O20" s="68"/>
      <c r="P20" s="5"/>
      <c r="Q20" s="19"/>
      <c r="R20" s="212">
        <v>0</v>
      </c>
      <c r="S20" s="12"/>
      <c r="T20" s="181">
        <v>0</v>
      </c>
      <c r="U20" s="12"/>
      <c r="V20" s="181">
        <f>E20/E7</f>
        <v>9.7463999999999995E-2</v>
      </c>
      <c r="W20" s="12"/>
      <c r="X20" s="181">
        <f>F20/F7</f>
        <v>0.137464</v>
      </c>
      <c r="Y20" s="12"/>
      <c r="Z20" s="181">
        <f>G20/G7</f>
        <v>0.38674352941176471</v>
      </c>
      <c r="AA20" s="12"/>
      <c r="AB20" s="181">
        <f>H20/H7</f>
        <v>0.38926857142857141</v>
      </c>
      <c r="AC20" s="12"/>
      <c r="AD20" s="181">
        <f>I20/I7</f>
        <v>0.58511047619047618</v>
      </c>
      <c r="AE20" s="12"/>
      <c r="AF20" s="185">
        <f>J20/J7</f>
        <v>0.78796825396825398</v>
      </c>
      <c r="AG20" s="12"/>
      <c r="AH20" s="185">
        <f>K20/K7</f>
        <v>0.78496103896103897</v>
      </c>
      <c r="AI20" s="12"/>
      <c r="AJ20" s="186">
        <f>L20/L7</f>
        <v>0.7909761904761905</v>
      </c>
      <c r="AK20" s="5"/>
      <c r="AL20" s="55">
        <f>N20/N7</f>
        <v>0.66666419753086414</v>
      </c>
      <c r="AM20" s="20"/>
    </row>
    <row r="21" spans="2:41" ht="15.75" thickBot="1" x14ac:dyDescent="0.3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5"/>
      <c r="Q21" s="21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3"/>
    </row>
    <row r="22" spans="2:41" x14ac:dyDescent="0.25">
      <c r="D22" s="2"/>
    </row>
    <row r="23" spans="2:41" x14ac:dyDescent="0.25">
      <c r="C23" s="2"/>
      <c r="V23" s="184"/>
      <c r="X23" s="184"/>
      <c r="Z23" s="184"/>
      <c r="AB23" s="184"/>
      <c r="AD23" s="184"/>
      <c r="AF23" s="184"/>
      <c r="AH23" s="184"/>
      <c r="AJ23" s="184"/>
      <c r="AO23" s="1" t="s">
        <v>120</v>
      </c>
    </row>
  </sheetData>
  <mergeCells count="5">
    <mergeCell ref="V5:AD5"/>
    <mergeCell ref="R6:AJ6"/>
    <mergeCell ref="R9:AJ9"/>
    <mergeCell ref="R14:AJ14"/>
    <mergeCell ref="R19:AJ1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2:R47"/>
  <sheetViews>
    <sheetView zoomScaleNormal="100" workbookViewId="0">
      <selection activeCell="S6" sqref="S6"/>
    </sheetView>
  </sheetViews>
  <sheetFormatPr baseColWidth="10" defaultRowHeight="15" x14ac:dyDescent="0.25"/>
  <cols>
    <col min="1" max="1" width="3.7109375" style="1" customWidth="1"/>
    <col min="2" max="2" width="18.140625" style="1" customWidth="1"/>
    <col min="3" max="3" width="20" style="1" customWidth="1"/>
    <col min="4" max="4" width="17.140625" style="1" customWidth="1"/>
    <col min="5" max="5" width="10.42578125" style="1" customWidth="1"/>
    <col min="6" max="6" width="15.7109375" style="1" customWidth="1"/>
    <col min="7" max="10" width="16.28515625" style="1" bestFit="1" customWidth="1"/>
    <col min="11" max="13" width="17.85546875" style="1" bestFit="1" customWidth="1"/>
    <col min="14" max="14" width="1.85546875" style="1" customWidth="1"/>
    <col min="15" max="15" width="17.85546875" style="1" bestFit="1" customWidth="1"/>
    <col min="16" max="16" width="3.42578125" style="1" customWidth="1"/>
    <col min="17" max="17" width="11.42578125" style="1"/>
    <col min="18" max="18" width="16.28515625" style="1" bestFit="1" customWidth="1"/>
    <col min="19" max="16384" width="11.42578125" style="1"/>
  </cols>
  <sheetData>
    <row r="2" spans="2:16" ht="45.75" customHeight="1" x14ac:dyDescent="0.6">
      <c r="B2" s="267" t="s">
        <v>199</v>
      </c>
      <c r="C2" s="267"/>
      <c r="D2" s="267"/>
      <c r="E2" s="267"/>
      <c r="F2" s="267"/>
      <c r="G2" s="267"/>
      <c r="H2" s="267"/>
      <c r="I2" s="267"/>
      <c r="J2" s="267"/>
      <c r="K2" s="5"/>
      <c r="L2" s="5"/>
      <c r="M2" s="5"/>
    </row>
    <row r="3" spans="2:16" ht="15.75" thickBot="1" x14ac:dyDescent="0.3"/>
    <row r="4" spans="2:16" ht="21" customHeight="1" x14ac:dyDescent="0.3">
      <c r="B4" s="242" t="s">
        <v>200</v>
      </c>
      <c r="C4" s="243"/>
      <c r="D4" s="243"/>
      <c r="E4" s="243"/>
      <c r="F4" s="243"/>
      <c r="G4" s="243"/>
      <c r="H4" s="243"/>
      <c r="I4" s="33"/>
      <c r="J4" s="33"/>
      <c r="K4" s="33"/>
      <c r="L4" s="33"/>
      <c r="M4" s="33"/>
      <c r="N4" s="33"/>
      <c r="O4" s="33"/>
      <c r="P4" s="34"/>
    </row>
    <row r="5" spans="2:16" ht="18" customHeight="1" x14ac:dyDescent="0.25">
      <c r="B5" s="3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0"/>
    </row>
    <row r="6" spans="2:16" ht="35.25" customHeight="1" x14ac:dyDescent="0.25">
      <c r="B6" s="207" t="s">
        <v>161</v>
      </c>
      <c r="C6" s="114" t="s">
        <v>160</v>
      </c>
      <c r="D6" s="69"/>
      <c r="E6" s="32"/>
      <c r="F6" s="208" t="s">
        <v>55</v>
      </c>
      <c r="G6" s="208" t="s">
        <v>56</v>
      </c>
      <c r="H6" s="208" t="s">
        <v>57</v>
      </c>
      <c r="I6" s="208" t="s">
        <v>89</v>
      </c>
      <c r="J6" s="208" t="s">
        <v>90</v>
      </c>
      <c r="K6" s="208" t="s">
        <v>116</v>
      </c>
      <c r="L6" s="208" t="s">
        <v>117</v>
      </c>
      <c r="M6" s="208" t="s">
        <v>118</v>
      </c>
      <c r="N6" s="5"/>
      <c r="O6" s="5"/>
      <c r="P6" s="20"/>
    </row>
    <row r="7" spans="2:16" x14ac:dyDescent="0.25">
      <c r="B7" s="35" t="s">
        <v>163</v>
      </c>
      <c r="C7" s="9">
        <f>'Variable Assumptions'!D7*'Variable Assumptions'!D11</f>
        <v>5</v>
      </c>
      <c r="D7" s="9"/>
      <c r="E7" s="9"/>
      <c r="F7" s="54">
        <f>C7*'Variable Assumptions'!D9</f>
        <v>25000000</v>
      </c>
      <c r="G7" s="8"/>
      <c r="H7" s="5"/>
      <c r="I7" s="4"/>
      <c r="J7" s="4"/>
      <c r="K7" s="4"/>
      <c r="L7" s="4"/>
      <c r="M7" s="4"/>
      <c r="N7" s="5"/>
      <c r="O7" s="8"/>
      <c r="P7" s="20"/>
    </row>
    <row r="8" spans="2:16" x14ac:dyDescent="0.25">
      <c r="B8" s="35" t="s">
        <v>164</v>
      </c>
      <c r="C8" s="9">
        <f>'Variable Assumptions'!E7*'Variable Assumptions'!D11</f>
        <v>5</v>
      </c>
      <c r="D8" s="9"/>
      <c r="E8" s="9"/>
      <c r="F8" s="168"/>
      <c r="G8" s="8">
        <f>C8*'Variable Assumptions'!D9</f>
        <v>25000000</v>
      </c>
      <c r="H8" s="8"/>
      <c r="I8" s="4"/>
      <c r="J8" s="4"/>
      <c r="K8" s="4"/>
      <c r="L8" s="4"/>
      <c r="M8" s="4"/>
      <c r="N8" s="5"/>
      <c r="O8" s="8"/>
      <c r="P8" s="20"/>
    </row>
    <row r="9" spans="2:16" x14ac:dyDescent="0.25">
      <c r="B9" s="35" t="s">
        <v>165</v>
      </c>
      <c r="C9" s="9">
        <f>'Variable Assumptions'!F7*'Variable Assumptions'!D11</f>
        <v>5</v>
      </c>
      <c r="D9" s="9"/>
      <c r="E9" s="9"/>
      <c r="F9" s="168"/>
      <c r="G9" s="5"/>
      <c r="H9" s="8">
        <f>C9*'Variable Assumptions'!D9</f>
        <v>25000000</v>
      </c>
      <c r="I9" s="4"/>
      <c r="J9" s="4"/>
      <c r="K9" s="4"/>
      <c r="L9" s="4"/>
      <c r="M9" s="4"/>
      <c r="N9" s="5"/>
      <c r="O9" s="8"/>
      <c r="P9" s="20"/>
    </row>
    <row r="10" spans="2:16" x14ac:dyDescent="0.25">
      <c r="B10" s="35"/>
      <c r="C10" s="9"/>
      <c r="D10" s="9"/>
      <c r="E10" s="9"/>
      <c r="F10" s="168"/>
      <c r="G10" s="5"/>
      <c r="H10" s="5"/>
      <c r="I10" s="4"/>
      <c r="J10" s="4"/>
      <c r="K10" s="4"/>
      <c r="L10" s="4"/>
      <c r="M10" s="4"/>
      <c r="N10" s="5"/>
      <c r="O10" s="8"/>
      <c r="P10" s="20"/>
    </row>
    <row r="11" spans="2:16" ht="15.75" thickBot="1" x14ac:dyDescent="0.3">
      <c r="B11" s="35"/>
      <c r="C11" s="9"/>
      <c r="D11" s="9"/>
      <c r="E11" s="9"/>
      <c r="F11" s="171"/>
      <c r="G11" s="12"/>
      <c r="H11" s="12"/>
      <c r="I11" s="194"/>
      <c r="J11" s="194"/>
      <c r="K11" s="194"/>
      <c r="L11" s="194"/>
      <c r="M11" s="194"/>
      <c r="N11" s="5"/>
      <c r="O11" s="8"/>
      <c r="P11" s="20"/>
    </row>
    <row r="12" spans="2:16" ht="15.75" thickBot="1" x14ac:dyDescent="0.3">
      <c r="B12" s="21"/>
      <c r="C12" s="22"/>
      <c r="D12" s="22"/>
      <c r="E12" s="203" t="s">
        <v>180</v>
      </c>
      <c r="F12" s="91">
        <f t="shared" ref="F12:K12" si="0">SUM(F7:F11)</f>
        <v>25000000</v>
      </c>
      <c r="G12" s="91">
        <f t="shared" si="0"/>
        <v>25000000</v>
      </c>
      <c r="H12" s="91">
        <f t="shared" si="0"/>
        <v>25000000</v>
      </c>
      <c r="I12" s="91">
        <f t="shared" si="0"/>
        <v>0</v>
      </c>
      <c r="J12" s="91">
        <f t="shared" si="0"/>
        <v>0</v>
      </c>
      <c r="K12" s="91">
        <f t="shared" si="0"/>
        <v>0</v>
      </c>
      <c r="L12" s="91"/>
      <c r="M12" s="91"/>
      <c r="N12" s="22"/>
      <c r="O12" s="95">
        <f>F12+G12+H12</f>
        <v>75000000</v>
      </c>
      <c r="P12" s="23"/>
    </row>
    <row r="14" spans="2:16" ht="5.25" customHeight="1" thickBot="1" x14ac:dyDescent="0.3"/>
    <row r="15" spans="2:16" ht="18.75" x14ac:dyDescent="0.3">
      <c r="B15" s="242" t="s">
        <v>201</v>
      </c>
      <c r="C15" s="243"/>
      <c r="D15" s="243"/>
      <c r="E15" s="243"/>
      <c r="F15" s="243"/>
      <c r="G15" s="243"/>
      <c r="H15" s="243"/>
      <c r="I15" s="33"/>
      <c r="J15" s="33"/>
      <c r="K15" s="33"/>
      <c r="L15" s="33"/>
      <c r="M15" s="33"/>
      <c r="N15" s="33"/>
      <c r="O15" s="33"/>
      <c r="P15" s="34"/>
    </row>
    <row r="16" spans="2:16" ht="18" customHeight="1" x14ac:dyDescent="0.25">
      <c r="B16" s="19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20"/>
    </row>
    <row r="17" spans="2:18" ht="33" customHeight="1" x14ac:dyDescent="0.25">
      <c r="B17" s="207" t="s">
        <v>161</v>
      </c>
      <c r="C17" s="114" t="s">
        <v>158</v>
      </c>
      <c r="D17" s="114" t="s">
        <v>159</v>
      </c>
      <c r="E17" s="5"/>
      <c r="F17" s="208" t="s">
        <v>55</v>
      </c>
      <c r="G17" s="208" t="s">
        <v>56</v>
      </c>
      <c r="H17" s="208" t="s">
        <v>57</v>
      </c>
      <c r="I17" s="208" t="s">
        <v>89</v>
      </c>
      <c r="J17" s="208" t="s">
        <v>90</v>
      </c>
      <c r="K17" s="208" t="s">
        <v>116</v>
      </c>
      <c r="L17" s="208" t="s">
        <v>117</v>
      </c>
      <c r="M17" s="208" t="s">
        <v>118</v>
      </c>
      <c r="N17" s="5"/>
      <c r="O17" s="5"/>
      <c r="P17" s="20"/>
    </row>
    <row r="18" spans="2:18" x14ac:dyDescent="0.25">
      <c r="B18" s="35" t="s">
        <v>163</v>
      </c>
      <c r="C18" s="9">
        <f>'Variable Assumptions'!D14*'Variable Assumptions'!D12</f>
        <v>100000</v>
      </c>
      <c r="D18" s="9">
        <f>C18*'Variable Assumptions'!D16</f>
        <v>2500</v>
      </c>
      <c r="E18" s="5"/>
      <c r="F18" s="5"/>
      <c r="G18" s="9"/>
      <c r="H18" s="165">
        <f>D18*'(not reading)'!L2/1000</f>
        <v>175</v>
      </c>
      <c r="I18" s="166">
        <f>H18*2</f>
        <v>350</v>
      </c>
      <c r="J18" s="166">
        <f>H18*3</f>
        <v>525</v>
      </c>
      <c r="K18" s="166">
        <f>H18*4</f>
        <v>700</v>
      </c>
      <c r="L18" s="164">
        <f>K18</f>
        <v>700</v>
      </c>
      <c r="M18" s="164">
        <f>L18</f>
        <v>700</v>
      </c>
      <c r="N18" s="5"/>
      <c r="P18" s="20"/>
      <c r="R18" s="5"/>
    </row>
    <row r="19" spans="2:18" x14ac:dyDescent="0.25">
      <c r="B19" s="35" t="s">
        <v>164</v>
      </c>
      <c r="C19" s="9">
        <f>'Variable Assumptions'!D14*'Variable Assumptions'!E12</f>
        <v>100000</v>
      </c>
      <c r="D19" s="9">
        <f>C19*'Variable Assumptions'!D16</f>
        <v>2500</v>
      </c>
      <c r="E19" s="9"/>
      <c r="F19" s="168"/>
      <c r="G19" s="5"/>
      <c r="H19" s="5"/>
      <c r="I19" s="165">
        <f>D19*'(not reading)'!L2/1000</f>
        <v>175</v>
      </c>
      <c r="J19" s="166">
        <f>I19*2</f>
        <v>350</v>
      </c>
      <c r="K19" s="166">
        <f>I19*3</f>
        <v>525</v>
      </c>
      <c r="L19" s="166">
        <f>I19*4</f>
        <v>700</v>
      </c>
      <c r="M19" s="164">
        <f>L19</f>
        <v>700</v>
      </c>
      <c r="N19" s="5"/>
      <c r="P19" s="20"/>
      <c r="R19" s="5"/>
    </row>
    <row r="20" spans="2:18" x14ac:dyDescent="0.25">
      <c r="B20" s="35" t="s">
        <v>165</v>
      </c>
      <c r="C20" s="9">
        <f>'Variable Assumptions'!D14*'Variable Assumptions'!F12</f>
        <v>100000</v>
      </c>
      <c r="D20" s="9">
        <f>C20*'Variable Assumptions'!D16</f>
        <v>2500</v>
      </c>
      <c r="E20" s="9"/>
      <c r="F20" s="168"/>
      <c r="G20" s="5"/>
      <c r="H20" s="5"/>
      <c r="I20" s="5"/>
      <c r="J20" s="165">
        <f>D20*'(not reading)'!L2/1000</f>
        <v>175</v>
      </c>
      <c r="K20" s="166">
        <f>J20*2</f>
        <v>350</v>
      </c>
      <c r="L20" s="166">
        <f>J20*3</f>
        <v>525</v>
      </c>
      <c r="M20" s="166">
        <f>J20*4</f>
        <v>700</v>
      </c>
      <c r="N20" s="5"/>
      <c r="P20" s="20"/>
      <c r="R20" s="5"/>
    </row>
    <row r="21" spans="2:18" ht="11.25" customHeight="1" x14ac:dyDescent="0.25">
      <c r="B21" s="35"/>
      <c r="C21" s="9"/>
      <c r="D21" s="9"/>
      <c r="E21" s="9"/>
      <c r="F21" s="168"/>
      <c r="G21" s="5"/>
      <c r="H21" s="5"/>
      <c r="I21" s="5"/>
      <c r="J21" s="5"/>
      <c r="K21" s="40"/>
      <c r="L21" s="40"/>
      <c r="M21" s="40"/>
      <c r="N21" s="5"/>
      <c r="O21" s="5"/>
      <c r="P21" s="20"/>
      <c r="R21" s="2"/>
    </row>
    <row r="22" spans="2:18" ht="15.75" thickBot="1" x14ac:dyDescent="0.3">
      <c r="B22" s="35"/>
      <c r="C22" s="9"/>
      <c r="D22" s="9"/>
      <c r="E22" s="203" t="s">
        <v>184</v>
      </c>
      <c r="F22" s="172"/>
      <c r="G22" s="173"/>
      <c r="H22" s="174">
        <f>SUM(H18:H20)</f>
        <v>175</v>
      </c>
      <c r="I22" s="174">
        <f>SUM(I18:I20)</f>
        <v>525</v>
      </c>
      <c r="J22" s="174">
        <f t="shared" ref="J22:M22" si="1">SUM(J18:J20)</f>
        <v>1050</v>
      </c>
      <c r="K22" s="174">
        <f t="shared" si="1"/>
        <v>1575</v>
      </c>
      <c r="L22" s="174">
        <f t="shared" si="1"/>
        <v>1925</v>
      </c>
      <c r="M22" s="174">
        <f t="shared" si="1"/>
        <v>2100</v>
      </c>
      <c r="N22" s="5"/>
      <c r="O22" s="164"/>
      <c r="P22" s="20"/>
    </row>
    <row r="23" spans="2:18" ht="15.75" thickBot="1" x14ac:dyDescent="0.3">
      <c r="B23" s="21"/>
      <c r="C23" s="22"/>
      <c r="D23" s="22"/>
      <c r="E23" s="203" t="s">
        <v>180</v>
      </c>
      <c r="F23" s="91">
        <v>0</v>
      </c>
      <c r="G23" s="92">
        <v>0</v>
      </c>
      <c r="H23" s="91">
        <f>H18*'Variable Assumptions'!D20</f>
        <v>17500000</v>
      </c>
      <c r="I23" s="91">
        <f>(I18+I19)*'Variable Assumptions'!D20</f>
        <v>52500000</v>
      </c>
      <c r="J23" s="91">
        <f>(J18+J19+J20)*'Variable Assumptions'!D20</f>
        <v>105000000</v>
      </c>
      <c r="K23" s="91">
        <f>(K18+K19+K20+K21)*'Variable Assumptions'!D20</f>
        <v>157500000</v>
      </c>
      <c r="L23" s="91">
        <f>(L18+L19+L20)*'Variable Assumptions'!D20</f>
        <v>192500000</v>
      </c>
      <c r="M23" s="91">
        <f>(M18+M19+M20)*'Variable Assumptions'!D20</f>
        <v>210000000</v>
      </c>
      <c r="N23" s="22"/>
      <c r="O23" s="95">
        <f>SUM(F23:M23)</f>
        <v>735000000</v>
      </c>
      <c r="P23" s="23"/>
    </row>
    <row r="24" spans="2:18" ht="12" customHeight="1" thickBot="1" x14ac:dyDescent="0.3">
      <c r="H24" s="33"/>
      <c r="J24" s="33"/>
      <c r="K24" s="33"/>
      <c r="L24" s="5"/>
      <c r="M24" s="5"/>
    </row>
    <row r="25" spans="2:18" ht="15.75" thickBot="1" x14ac:dyDescent="0.3">
      <c r="E25" s="203" t="s">
        <v>185</v>
      </c>
      <c r="F25" s="93">
        <f>F23+F12</f>
        <v>25000000</v>
      </c>
      <c r="G25" s="94">
        <f>G23+G12</f>
        <v>25000000</v>
      </c>
      <c r="H25" s="94">
        <f>H23+H12</f>
        <v>42500000</v>
      </c>
      <c r="I25" s="94">
        <f t="shared" ref="I25" si="2">I23+I12</f>
        <v>52500000</v>
      </c>
      <c r="J25" s="94">
        <f>J23+J12</f>
        <v>105000000</v>
      </c>
      <c r="K25" s="94">
        <f>K23+K12</f>
        <v>157500000</v>
      </c>
      <c r="L25" s="94">
        <f>L23+L12</f>
        <v>192500000</v>
      </c>
      <c r="M25" s="187">
        <f>M23+M12</f>
        <v>210000000</v>
      </c>
      <c r="N25" s="2"/>
      <c r="O25" s="95">
        <f>O23+O12</f>
        <v>810000000</v>
      </c>
    </row>
    <row r="26" spans="2:18" ht="15.75" thickBot="1" x14ac:dyDescent="0.3">
      <c r="I26" s="5"/>
      <c r="J26" s="5"/>
      <c r="K26" s="5"/>
      <c r="L26" s="5"/>
      <c r="M26" s="5"/>
    </row>
    <row r="27" spans="2:18" ht="15.75" thickBot="1" x14ac:dyDescent="0.3">
      <c r="D27" s="268" t="s">
        <v>119</v>
      </c>
      <c r="E27" s="269"/>
      <c r="F27" s="200">
        <f>F25</f>
        <v>25000000</v>
      </c>
      <c r="G27" s="94">
        <f>G25+F25</f>
        <v>50000000</v>
      </c>
      <c r="H27" s="94">
        <f>H25+G27</f>
        <v>92500000</v>
      </c>
      <c r="I27" s="94">
        <f>I25+H27</f>
        <v>145000000</v>
      </c>
      <c r="J27" s="94">
        <f>I27+J25</f>
        <v>250000000</v>
      </c>
      <c r="K27" s="94">
        <f t="shared" ref="K27:M27" si="3">J27+K25</f>
        <v>407500000</v>
      </c>
      <c r="L27" s="94">
        <f t="shared" si="3"/>
        <v>600000000</v>
      </c>
      <c r="M27" s="187">
        <f t="shared" si="3"/>
        <v>810000000</v>
      </c>
    </row>
    <row r="30" spans="2:18" ht="10.5" customHeight="1" x14ac:dyDescent="0.25"/>
    <row r="31" spans="2:18" x14ac:dyDescent="0.25">
      <c r="B31" s="260"/>
      <c r="C31" s="260"/>
      <c r="O31" s="167"/>
      <c r="Q31" s="2"/>
    </row>
    <row r="32" spans="2:18" ht="10.5" customHeight="1" x14ac:dyDescent="0.25">
      <c r="B32" s="189"/>
      <c r="C32" s="189"/>
    </row>
    <row r="33" spans="2:3" x14ac:dyDescent="0.25">
      <c r="B33" s="189"/>
      <c r="C33" s="8"/>
    </row>
    <row r="34" spans="2:3" ht="10.5" customHeight="1" x14ac:dyDescent="0.25">
      <c r="B34" s="189"/>
      <c r="C34" s="8"/>
    </row>
    <row r="35" spans="2:3" x14ac:dyDescent="0.25">
      <c r="B35" s="189"/>
      <c r="C35" s="8"/>
    </row>
    <row r="36" spans="2:3" ht="10.5" customHeight="1" x14ac:dyDescent="0.25">
      <c r="B36" s="189"/>
      <c r="C36" s="8"/>
    </row>
    <row r="37" spans="2:3" x14ac:dyDescent="0.25">
      <c r="B37" s="189"/>
      <c r="C37" s="8"/>
    </row>
    <row r="38" spans="2:3" ht="9.75" customHeight="1" x14ac:dyDescent="0.25">
      <c r="B38" s="189"/>
      <c r="C38" s="8"/>
    </row>
    <row r="39" spans="2:3" x14ac:dyDescent="0.25">
      <c r="B39" s="189"/>
      <c r="C39" s="8"/>
    </row>
    <row r="40" spans="2:3" ht="10.5" customHeight="1" x14ac:dyDescent="0.25">
      <c r="B40" s="189"/>
      <c r="C40" s="8"/>
    </row>
    <row r="41" spans="2:3" x14ac:dyDescent="0.25">
      <c r="B41" s="189"/>
      <c r="C41" s="8"/>
    </row>
    <row r="42" spans="2:3" ht="10.5" customHeight="1" x14ac:dyDescent="0.25">
      <c r="B42" s="189"/>
      <c r="C42" s="8"/>
    </row>
    <row r="43" spans="2:3" x14ac:dyDescent="0.25">
      <c r="B43" s="189"/>
      <c r="C43" s="8"/>
    </row>
    <row r="44" spans="2:3" x14ac:dyDescent="0.25">
      <c r="B44" s="189"/>
      <c r="C44" s="8"/>
    </row>
    <row r="45" spans="2:3" x14ac:dyDescent="0.25">
      <c r="B45" s="189"/>
      <c r="C45" s="8"/>
    </row>
    <row r="46" spans="2:3" x14ac:dyDescent="0.25">
      <c r="B46" s="189"/>
      <c r="C46" s="8"/>
    </row>
    <row r="47" spans="2:3" x14ac:dyDescent="0.25">
      <c r="B47" s="189"/>
      <c r="C47" s="8"/>
    </row>
  </sheetData>
  <mergeCells count="5">
    <mergeCell ref="B2:J2"/>
    <mergeCell ref="B31:C31"/>
    <mergeCell ref="B4:H4"/>
    <mergeCell ref="B15:H15"/>
    <mergeCell ref="D27:E27"/>
  </mergeCells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F48"/>
  <sheetViews>
    <sheetView workbookViewId="0">
      <selection activeCell="L2" sqref="L2"/>
    </sheetView>
  </sheetViews>
  <sheetFormatPr baseColWidth="10" defaultRowHeight="15" x14ac:dyDescent="0.25"/>
  <cols>
    <col min="1" max="1" width="1.7109375" style="1" customWidth="1"/>
    <col min="2" max="2" width="26.7109375" style="1" customWidth="1"/>
    <col min="3" max="3" width="29.28515625" style="1" customWidth="1"/>
    <col min="4" max="4" width="59.140625" style="1" customWidth="1"/>
    <col min="5" max="5" width="2" style="1" customWidth="1"/>
    <col min="6" max="6" width="14.140625" style="1" bestFit="1" customWidth="1"/>
    <col min="7" max="7" width="3" style="1" customWidth="1"/>
    <col min="8" max="8" width="14.140625" style="1" bestFit="1" customWidth="1"/>
    <col min="9" max="9" width="3" style="1" customWidth="1"/>
    <col min="10" max="10" width="14.140625" style="1" bestFit="1" customWidth="1"/>
    <col min="11" max="11" width="3" style="1" customWidth="1"/>
    <col min="12" max="12" width="14.140625" style="1" bestFit="1" customWidth="1"/>
    <col min="13" max="13" width="3" style="1" customWidth="1"/>
    <col min="14" max="14" width="14.140625" style="1" bestFit="1" customWidth="1"/>
    <col min="15" max="15" width="3" style="1" customWidth="1"/>
    <col min="16" max="16" width="14.140625" style="1" bestFit="1" customWidth="1"/>
    <col min="17" max="17" width="3" style="1" customWidth="1"/>
    <col min="18" max="18" width="14.140625" style="1" bestFit="1" customWidth="1"/>
    <col min="19" max="19" width="3" style="1" customWidth="1"/>
    <col min="20" max="20" width="14.140625" style="1" bestFit="1" customWidth="1"/>
    <col min="21" max="16384" width="11.42578125" style="1"/>
  </cols>
  <sheetData>
    <row r="1" spans="1:32" ht="30" customHeight="1" x14ac:dyDescent="0.4">
      <c r="B1" s="27"/>
      <c r="C1" s="27"/>
      <c r="D1" s="27"/>
      <c r="E1" s="27"/>
    </row>
    <row r="2" spans="1:32" ht="26.25" customHeight="1" x14ac:dyDescent="0.6">
      <c r="B2" s="190" t="s">
        <v>98</v>
      </c>
      <c r="C2" s="28"/>
      <c r="D2" s="28"/>
      <c r="E2" s="28"/>
      <c r="F2" s="12"/>
      <c r="G2" s="12"/>
      <c r="H2" s="12"/>
      <c r="I2" s="12"/>
      <c r="J2" s="12"/>
      <c r="K2" s="5"/>
      <c r="L2" s="5"/>
      <c r="M2" s="5"/>
      <c r="N2" s="5"/>
      <c r="O2" s="5"/>
      <c r="Q2" s="5"/>
    </row>
    <row r="3" spans="1:32" ht="12" customHeight="1" x14ac:dyDescent="0.25"/>
    <row r="4" spans="1:32" ht="7.5" customHeight="1" thickBot="1" x14ac:dyDescent="0.3"/>
    <row r="5" spans="1:32" customFormat="1" x14ac:dyDescent="0.25">
      <c r="A5" s="1"/>
      <c r="B5" s="204" t="s">
        <v>40</v>
      </c>
      <c r="C5" s="205" t="s">
        <v>41</v>
      </c>
      <c r="D5" s="206" t="s">
        <v>42</v>
      </c>
      <c r="E5" s="5"/>
      <c r="F5" s="80" t="s">
        <v>99</v>
      </c>
      <c r="G5" s="44"/>
      <c r="H5" s="80" t="s">
        <v>100</v>
      </c>
      <c r="I5" s="44"/>
      <c r="J5" s="80" t="s">
        <v>101</v>
      </c>
      <c r="K5" s="44"/>
      <c r="L5" s="80" t="s">
        <v>102</v>
      </c>
      <c r="M5" s="44"/>
      <c r="N5" s="80" t="s">
        <v>103</v>
      </c>
      <c r="O5" s="44"/>
      <c r="P5" s="80" t="s">
        <v>143</v>
      </c>
      <c r="Q5" s="44"/>
      <c r="R5" s="80" t="s">
        <v>128</v>
      </c>
      <c r="S5" s="1"/>
      <c r="T5" s="80" t="s">
        <v>144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customFormat="1" ht="12" customHeight="1" x14ac:dyDescent="0.25">
      <c r="A6" s="1"/>
      <c r="B6" s="16"/>
      <c r="C6" s="17"/>
      <c r="D6" s="45"/>
      <c r="E6" s="5"/>
      <c r="F6" s="74"/>
      <c r="G6" s="7"/>
      <c r="H6" s="75"/>
      <c r="I6" s="7"/>
      <c r="J6" s="75"/>
      <c r="K6" s="7"/>
      <c r="L6" s="75"/>
      <c r="M6" s="7"/>
      <c r="N6" s="75"/>
      <c r="O6" s="7"/>
      <c r="P6" s="75"/>
      <c r="Q6" s="7"/>
      <c r="R6" s="75"/>
      <c r="S6" s="1"/>
      <c r="T6" s="7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customFormat="1" ht="17.25" customHeight="1" x14ac:dyDescent="0.25">
      <c r="A7" s="1"/>
      <c r="B7" s="76" t="s">
        <v>37</v>
      </c>
      <c r="C7" s="77" t="s">
        <v>0</v>
      </c>
      <c r="D7" s="78" t="s">
        <v>1</v>
      </c>
      <c r="E7" s="5"/>
      <c r="F7" s="96">
        <f>'Investment Allocation'!I19</f>
        <v>200000</v>
      </c>
      <c r="G7" s="7"/>
      <c r="H7" s="97">
        <f>F7</f>
        <v>200000</v>
      </c>
      <c r="I7" s="7"/>
      <c r="J7" s="97">
        <f>F7</f>
        <v>200000</v>
      </c>
      <c r="K7" s="7"/>
      <c r="L7" s="97">
        <f>F7</f>
        <v>200000</v>
      </c>
      <c r="M7" s="7"/>
      <c r="N7" s="97">
        <f>F7</f>
        <v>200000</v>
      </c>
      <c r="O7" s="7"/>
      <c r="P7" s="97">
        <f>H7</f>
        <v>200000</v>
      </c>
      <c r="Q7" s="7"/>
      <c r="R7" s="97">
        <f t="shared" ref="R7:T23" si="0">J7</f>
        <v>200000</v>
      </c>
      <c r="S7" s="1"/>
      <c r="T7" s="97">
        <f t="shared" si="0"/>
        <v>200000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customFormat="1" ht="9" customHeight="1" x14ac:dyDescent="0.25">
      <c r="A8" s="1"/>
      <c r="B8" s="16"/>
      <c r="C8" s="17"/>
      <c r="D8" s="45"/>
      <c r="E8" s="5"/>
      <c r="F8" s="74"/>
      <c r="G8" s="7"/>
      <c r="H8" s="75"/>
      <c r="I8" s="7"/>
      <c r="J8" s="75"/>
      <c r="K8" s="7"/>
      <c r="L8" s="75"/>
      <c r="M8" s="7"/>
      <c r="N8" s="75"/>
      <c r="O8" s="7"/>
      <c r="P8" s="75"/>
      <c r="Q8" s="7"/>
      <c r="R8" s="75"/>
      <c r="S8" s="1"/>
      <c r="T8" s="75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customFormat="1" ht="15" customHeight="1" x14ac:dyDescent="0.25">
      <c r="A9" s="1"/>
      <c r="B9" s="76" t="s">
        <v>37</v>
      </c>
      <c r="C9" s="77" t="s">
        <v>0</v>
      </c>
      <c r="D9" s="78" t="s">
        <v>181</v>
      </c>
      <c r="E9" s="5"/>
      <c r="F9" s="96">
        <f>'Investment Allocation'!I21</f>
        <v>300000</v>
      </c>
      <c r="G9" s="7"/>
      <c r="H9" s="97">
        <f t="shared" ref="H9:H23" si="1">F9</f>
        <v>300000</v>
      </c>
      <c r="I9" s="7"/>
      <c r="J9" s="97">
        <f t="shared" ref="J9:J23" si="2">F9</f>
        <v>300000</v>
      </c>
      <c r="K9" s="7"/>
      <c r="L9" s="97">
        <f t="shared" ref="L9:L23" si="3">F9</f>
        <v>300000</v>
      </c>
      <c r="M9" s="7"/>
      <c r="N9" s="97">
        <f t="shared" ref="N9:N23" si="4">F9</f>
        <v>300000</v>
      </c>
      <c r="O9" s="7"/>
      <c r="P9" s="97">
        <f t="shared" ref="P9:P23" si="5">H9</f>
        <v>300000</v>
      </c>
      <c r="Q9" s="7"/>
      <c r="R9" s="97">
        <f t="shared" si="0"/>
        <v>300000</v>
      </c>
      <c r="S9" s="1"/>
      <c r="T9" s="97">
        <f t="shared" si="0"/>
        <v>300000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customFormat="1" ht="9" customHeight="1" x14ac:dyDescent="0.25">
      <c r="A10" s="1"/>
      <c r="B10" s="16"/>
      <c r="C10" s="17"/>
      <c r="D10" s="45"/>
      <c r="E10" s="5"/>
      <c r="F10" s="74"/>
      <c r="G10" s="7"/>
      <c r="H10" s="75"/>
      <c r="I10" s="7"/>
      <c r="J10" s="75"/>
      <c r="K10" s="7"/>
      <c r="L10" s="75"/>
      <c r="M10" s="7"/>
      <c r="N10" s="75"/>
      <c r="O10" s="7"/>
      <c r="P10" s="75"/>
      <c r="Q10" s="7"/>
      <c r="R10" s="75"/>
      <c r="S10" s="1"/>
      <c r="T10" s="75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customFormat="1" x14ac:dyDescent="0.25">
      <c r="A11" s="1"/>
      <c r="B11" s="76" t="s">
        <v>37</v>
      </c>
      <c r="C11" s="77" t="s">
        <v>0</v>
      </c>
      <c r="D11" s="78" t="s">
        <v>2</v>
      </c>
      <c r="E11" s="5"/>
      <c r="F11" s="96">
        <f>'Investment Allocation'!I23</f>
        <v>200000</v>
      </c>
      <c r="G11" s="7"/>
      <c r="H11" s="97">
        <f t="shared" si="1"/>
        <v>200000</v>
      </c>
      <c r="I11" s="7"/>
      <c r="J11" s="97">
        <f t="shared" si="2"/>
        <v>200000</v>
      </c>
      <c r="K11" s="7"/>
      <c r="L11" s="97">
        <f t="shared" si="3"/>
        <v>200000</v>
      </c>
      <c r="M11" s="7"/>
      <c r="N11" s="97">
        <f t="shared" si="4"/>
        <v>200000</v>
      </c>
      <c r="O11" s="7"/>
      <c r="P11" s="97">
        <f t="shared" si="5"/>
        <v>200000</v>
      </c>
      <c r="Q11" s="7"/>
      <c r="R11" s="97">
        <f t="shared" si="0"/>
        <v>200000</v>
      </c>
      <c r="S11" s="1"/>
      <c r="T11" s="97">
        <f t="shared" si="0"/>
        <v>200000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customFormat="1" ht="9" customHeight="1" x14ac:dyDescent="0.25">
      <c r="A12" s="1"/>
      <c r="B12" s="16"/>
      <c r="C12" s="17"/>
      <c r="D12" s="45"/>
      <c r="E12" s="5"/>
      <c r="F12" s="74"/>
      <c r="G12" s="7"/>
      <c r="H12" s="75"/>
      <c r="I12" s="7"/>
      <c r="J12" s="75"/>
      <c r="K12" s="7"/>
      <c r="L12" s="75"/>
      <c r="M12" s="7"/>
      <c r="N12" s="75"/>
      <c r="O12" s="7"/>
      <c r="P12" s="75"/>
      <c r="Q12" s="7"/>
      <c r="R12" s="75"/>
      <c r="S12" s="1"/>
      <c r="T12" s="75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customFormat="1" x14ac:dyDescent="0.25">
      <c r="A13" s="1"/>
      <c r="B13" s="76" t="s">
        <v>37</v>
      </c>
      <c r="C13" s="77" t="s">
        <v>0</v>
      </c>
      <c r="D13" s="78" t="s">
        <v>3</v>
      </c>
      <c r="E13" s="5"/>
      <c r="F13" s="96">
        <f>'Investment Allocation'!I25</f>
        <v>200000</v>
      </c>
      <c r="G13" s="7"/>
      <c r="H13" s="97">
        <f t="shared" si="1"/>
        <v>200000</v>
      </c>
      <c r="I13" s="7"/>
      <c r="J13" s="97">
        <f t="shared" si="2"/>
        <v>200000</v>
      </c>
      <c r="K13" s="7"/>
      <c r="L13" s="97">
        <f t="shared" si="3"/>
        <v>200000</v>
      </c>
      <c r="M13" s="7"/>
      <c r="N13" s="97">
        <f t="shared" si="4"/>
        <v>200000</v>
      </c>
      <c r="O13" s="7"/>
      <c r="P13" s="97">
        <f t="shared" si="5"/>
        <v>200000</v>
      </c>
      <c r="Q13" s="7"/>
      <c r="R13" s="97">
        <f t="shared" si="0"/>
        <v>200000</v>
      </c>
      <c r="S13" s="1"/>
      <c r="T13" s="97">
        <f t="shared" si="0"/>
        <v>200000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customFormat="1" ht="9" customHeight="1" x14ac:dyDescent="0.25">
      <c r="A14" s="1"/>
      <c r="B14" s="16"/>
      <c r="C14" s="17"/>
      <c r="D14" s="45"/>
      <c r="E14" s="5"/>
      <c r="F14" s="74"/>
      <c r="G14" s="7"/>
      <c r="H14" s="75"/>
      <c r="I14" s="7"/>
      <c r="J14" s="75"/>
      <c r="K14" s="7"/>
      <c r="L14" s="75"/>
      <c r="M14" s="7"/>
      <c r="N14" s="75"/>
      <c r="O14" s="7"/>
      <c r="P14" s="75"/>
      <c r="Q14" s="7"/>
      <c r="R14" s="75"/>
      <c r="S14" s="1"/>
      <c r="T14" s="75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customFormat="1" x14ac:dyDescent="0.25">
      <c r="A15" s="1"/>
      <c r="B15" s="76" t="s">
        <v>37</v>
      </c>
      <c r="C15" s="77" t="s">
        <v>0</v>
      </c>
      <c r="D15" s="78" t="s">
        <v>4</v>
      </c>
      <c r="E15" s="5"/>
      <c r="F15" s="96">
        <f>'Investment Allocation'!I27</f>
        <v>75000</v>
      </c>
      <c r="G15" s="7"/>
      <c r="H15" s="97">
        <f t="shared" si="1"/>
        <v>75000</v>
      </c>
      <c r="I15" s="7"/>
      <c r="J15" s="97">
        <f t="shared" si="2"/>
        <v>75000</v>
      </c>
      <c r="K15" s="7"/>
      <c r="L15" s="97">
        <f t="shared" si="3"/>
        <v>75000</v>
      </c>
      <c r="M15" s="7"/>
      <c r="N15" s="97">
        <f t="shared" si="4"/>
        <v>75000</v>
      </c>
      <c r="O15" s="7"/>
      <c r="P15" s="97">
        <f t="shared" si="5"/>
        <v>75000</v>
      </c>
      <c r="Q15" s="7"/>
      <c r="R15" s="97">
        <f t="shared" si="0"/>
        <v>75000</v>
      </c>
      <c r="S15" s="1"/>
      <c r="T15" s="97">
        <f t="shared" si="0"/>
        <v>75000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customFormat="1" ht="9" customHeight="1" x14ac:dyDescent="0.25">
      <c r="A16" s="1"/>
      <c r="B16" s="16"/>
      <c r="C16" s="17"/>
      <c r="D16" s="45"/>
      <c r="E16" s="5"/>
      <c r="F16" s="74"/>
      <c r="G16" s="7"/>
      <c r="H16" s="75"/>
      <c r="I16" s="7"/>
      <c r="J16" s="75"/>
      <c r="K16" s="7"/>
      <c r="L16" s="75"/>
      <c r="M16" s="7"/>
      <c r="N16" s="75"/>
      <c r="O16" s="7"/>
      <c r="P16" s="75"/>
      <c r="Q16" s="7"/>
      <c r="R16" s="75"/>
      <c r="S16" s="1"/>
      <c r="T16" s="75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customFormat="1" x14ac:dyDescent="0.25">
      <c r="A17" s="1"/>
      <c r="B17" s="76" t="s">
        <v>37</v>
      </c>
      <c r="C17" s="77" t="s">
        <v>0</v>
      </c>
      <c r="D17" s="78" t="s">
        <v>5</v>
      </c>
      <c r="E17" s="5"/>
      <c r="F17" s="96">
        <f>'Investment Allocation'!I29</f>
        <v>75000</v>
      </c>
      <c r="G17" s="7"/>
      <c r="H17" s="97">
        <f t="shared" si="1"/>
        <v>75000</v>
      </c>
      <c r="I17" s="7"/>
      <c r="J17" s="97">
        <f t="shared" si="2"/>
        <v>75000</v>
      </c>
      <c r="K17" s="7"/>
      <c r="L17" s="97">
        <f t="shared" si="3"/>
        <v>75000</v>
      </c>
      <c r="M17" s="7"/>
      <c r="N17" s="97">
        <f t="shared" si="4"/>
        <v>75000</v>
      </c>
      <c r="O17" s="7"/>
      <c r="P17" s="97">
        <f t="shared" si="5"/>
        <v>75000</v>
      </c>
      <c r="Q17" s="7"/>
      <c r="R17" s="97">
        <f t="shared" si="0"/>
        <v>75000</v>
      </c>
      <c r="S17" s="1"/>
      <c r="T17" s="97">
        <f t="shared" si="0"/>
        <v>75000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customFormat="1" ht="9" customHeight="1" x14ac:dyDescent="0.25">
      <c r="A18" s="1"/>
      <c r="B18" s="16"/>
      <c r="C18" s="17"/>
      <c r="D18" s="45"/>
      <c r="E18" s="5"/>
      <c r="F18" s="74"/>
      <c r="G18" s="7"/>
      <c r="H18" s="75"/>
      <c r="I18" s="7"/>
      <c r="J18" s="75"/>
      <c r="K18" s="7"/>
      <c r="L18" s="75"/>
      <c r="M18" s="7"/>
      <c r="N18" s="75"/>
      <c r="O18" s="7"/>
      <c r="P18" s="75"/>
      <c r="Q18" s="7"/>
      <c r="R18" s="75"/>
      <c r="S18" s="1"/>
      <c r="T18" s="75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customFormat="1" x14ac:dyDescent="0.25">
      <c r="A19" s="1"/>
      <c r="B19" s="76" t="s">
        <v>37</v>
      </c>
      <c r="C19" s="77" t="s">
        <v>6</v>
      </c>
      <c r="D19" s="78" t="s">
        <v>7</v>
      </c>
      <c r="E19" s="5"/>
      <c r="F19" s="96">
        <f>'Investment Allocation'!I31</f>
        <v>75000</v>
      </c>
      <c r="G19" s="7"/>
      <c r="H19" s="97">
        <f t="shared" si="1"/>
        <v>75000</v>
      </c>
      <c r="I19" s="7"/>
      <c r="J19" s="97">
        <f t="shared" si="2"/>
        <v>75000</v>
      </c>
      <c r="K19" s="7"/>
      <c r="L19" s="97">
        <f t="shared" si="3"/>
        <v>75000</v>
      </c>
      <c r="M19" s="7"/>
      <c r="N19" s="97">
        <f t="shared" si="4"/>
        <v>75000</v>
      </c>
      <c r="O19" s="7"/>
      <c r="P19" s="97">
        <f t="shared" si="5"/>
        <v>75000</v>
      </c>
      <c r="Q19" s="7"/>
      <c r="R19" s="97">
        <f t="shared" si="0"/>
        <v>75000</v>
      </c>
      <c r="S19" s="1"/>
      <c r="T19" s="97">
        <f t="shared" si="0"/>
        <v>75000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customFormat="1" ht="9" customHeight="1" x14ac:dyDescent="0.25">
      <c r="A20" s="1"/>
      <c r="B20" s="16"/>
      <c r="C20" s="17"/>
      <c r="D20" s="45"/>
      <c r="E20" s="5"/>
      <c r="F20" s="74"/>
      <c r="G20" s="7"/>
      <c r="H20" s="75"/>
      <c r="I20" s="7"/>
      <c r="J20" s="75"/>
      <c r="K20" s="7"/>
      <c r="L20" s="75"/>
      <c r="M20" s="7"/>
      <c r="N20" s="75"/>
      <c r="O20" s="7"/>
      <c r="P20" s="75"/>
      <c r="Q20" s="7"/>
      <c r="R20" s="75"/>
      <c r="S20" s="1"/>
      <c r="T20" s="7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customFormat="1" x14ac:dyDescent="0.25">
      <c r="A21" s="1"/>
      <c r="B21" s="76" t="s">
        <v>37</v>
      </c>
      <c r="C21" s="77" t="s">
        <v>6</v>
      </c>
      <c r="D21" s="78" t="s">
        <v>8</v>
      </c>
      <c r="E21" s="5"/>
      <c r="F21" s="96">
        <f>'Investment Allocation'!I33</f>
        <v>200000</v>
      </c>
      <c r="G21" s="7"/>
      <c r="H21" s="97">
        <f t="shared" si="1"/>
        <v>200000</v>
      </c>
      <c r="I21" s="7"/>
      <c r="J21" s="97">
        <f t="shared" si="2"/>
        <v>200000</v>
      </c>
      <c r="K21" s="7"/>
      <c r="L21" s="97">
        <f t="shared" si="3"/>
        <v>200000</v>
      </c>
      <c r="M21" s="7"/>
      <c r="N21" s="97">
        <f t="shared" si="4"/>
        <v>200000</v>
      </c>
      <c r="O21" s="7"/>
      <c r="P21" s="97">
        <f t="shared" si="5"/>
        <v>200000</v>
      </c>
      <c r="Q21" s="7"/>
      <c r="R21" s="97">
        <f t="shared" si="0"/>
        <v>200000</v>
      </c>
      <c r="S21" s="1"/>
      <c r="T21" s="97">
        <f t="shared" si="0"/>
        <v>200000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customFormat="1" ht="9" customHeight="1" x14ac:dyDescent="0.25">
      <c r="A22" s="1"/>
      <c r="B22" s="16"/>
      <c r="C22" s="17"/>
      <c r="D22" s="45"/>
      <c r="E22" s="5"/>
      <c r="F22" s="74"/>
      <c r="G22" s="7"/>
      <c r="H22" s="75"/>
      <c r="I22" s="7"/>
      <c r="J22" s="75"/>
      <c r="K22" s="7"/>
      <c r="L22" s="75"/>
      <c r="M22" s="7"/>
      <c r="N22" s="75"/>
      <c r="O22" s="7"/>
      <c r="P22" s="75"/>
      <c r="Q22" s="7"/>
      <c r="R22" s="75"/>
      <c r="S22" s="1"/>
      <c r="T22" s="75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customFormat="1" x14ac:dyDescent="0.25">
      <c r="A23" s="1"/>
      <c r="B23" s="76" t="s">
        <v>37</v>
      </c>
      <c r="C23" s="77" t="s">
        <v>6</v>
      </c>
      <c r="D23" s="78" t="s">
        <v>93</v>
      </c>
      <c r="E23" s="5"/>
      <c r="F23" s="96">
        <f>'Investment Allocation'!I35</f>
        <v>50000</v>
      </c>
      <c r="G23" s="7"/>
      <c r="H23" s="97">
        <f t="shared" si="1"/>
        <v>50000</v>
      </c>
      <c r="I23" s="7"/>
      <c r="J23" s="97">
        <f t="shared" si="2"/>
        <v>50000</v>
      </c>
      <c r="K23" s="7"/>
      <c r="L23" s="97">
        <f t="shared" si="3"/>
        <v>50000</v>
      </c>
      <c r="M23" s="7"/>
      <c r="N23" s="97">
        <f t="shared" si="4"/>
        <v>50000</v>
      </c>
      <c r="O23" s="7"/>
      <c r="P23" s="97">
        <f t="shared" si="5"/>
        <v>50000</v>
      </c>
      <c r="Q23" s="7"/>
      <c r="R23" s="97">
        <f t="shared" si="0"/>
        <v>50000</v>
      </c>
      <c r="S23" s="1"/>
      <c r="T23" s="97">
        <f t="shared" si="0"/>
        <v>50000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customFormat="1" ht="9" customHeight="1" x14ac:dyDescent="0.25">
      <c r="A24" s="1"/>
      <c r="B24" s="16"/>
      <c r="C24" s="17"/>
      <c r="D24" s="45"/>
      <c r="E24" s="5"/>
      <c r="F24" s="74"/>
      <c r="G24" s="7"/>
      <c r="H24" s="75"/>
      <c r="I24" s="7"/>
      <c r="J24" s="75"/>
      <c r="K24" s="7"/>
      <c r="L24" s="75"/>
      <c r="M24" s="7"/>
      <c r="N24" s="75"/>
      <c r="O24" s="7"/>
      <c r="P24" s="75"/>
      <c r="Q24" s="7"/>
      <c r="R24" s="75"/>
      <c r="S24" s="1"/>
      <c r="T24" s="7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customFormat="1" x14ac:dyDescent="0.25">
      <c r="A25" s="1"/>
      <c r="B25" s="56" t="s">
        <v>9</v>
      </c>
      <c r="C25" s="59" t="s">
        <v>24</v>
      </c>
      <c r="D25" s="98" t="s">
        <v>25</v>
      </c>
      <c r="E25" s="5"/>
      <c r="F25" s="97">
        <f>'Investment Allocation'!I69</f>
        <v>100000</v>
      </c>
      <c r="G25" s="8"/>
      <c r="H25" s="97">
        <v>0</v>
      </c>
      <c r="I25" s="8"/>
      <c r="J25" s="97">
        <f t="shared" ref="J25:J39" si="6">F25</f>
        <v>100000</v>
      </c>
      <c r="K25" s="8"/>
      <c r="L25" s="97">
        <v>0</v>
      </c>
      <c r="M25" s="8"/>
      <c r="N25" s="97">
        <f t="shared" ref="N25:N39" si="7">F25</f>
        <v>100000</v>
      </c>
      <c r="O25" s="8"/>
      <c r="P25" s="97">
        <f t="shared" ref="P25:P43" si="8">H25</f>
        <v>0</v>
      </c>
      <c r="Q25" s="8"/>
      <c r="R25" s="97">
        <f t="shared" ref="R25:T43" si="9">J25</f>
        <v>100000</v>
      </c>
      <c r="S25" s="1"/>
      <c r="T25" s="97">
        <f t="shared" si="9"/>
        <v>0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customFormat="1" ht="9" customHeight="1" x14ac:dyDescent="0.25">
      <c r="A26" s="1"/>
      <c r="B26" s="16"/>
      <c r="C26" s="17"/>
      <c r="D26" s="45"/>
      <c r="E26" s="5"/>
      <c r="F26" s="74"/>
      <c r="G26" s="7"/>
      <c r="H26" s="75"/>
      <c r="I26" s="7"/>
      <c r="J26" s="75"/>
      <c r="K26" s="7"/>
      <c r="L26" s="75"/>
      <c r="M26" s="7"/>
      <c r="N26" s="75"/>
      <c r="O26" s="7"/>
      <c r="P26" s="75"/>
      <c r="Q26" s="7"/>
      <c r="R26" s="75"/>
      <c r="S26" s="1"/>
      <c r="T26" s="7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B27" s="56" t="s">
        <v>9</v>
      </c>
      <c r="C27" s="59" t="s">
        <v>24</v>
      </c>
      <c r="D27" s="98" t="s">
        <v>26</v>
      </c>
      <c r="E27" s="5"/>
      <c r="F27" s="97">
        <f>'Investment Allocation'!I71</f>
        <v>200000</v>
      </c>
      <c r="G27" s="8"/>
      <c r="H27" s="97">
        <v>0</v>
      </c>
      <c r="I27" s="8"/>
      <c r="J27" s="97">
        <f t="shared" si="6"/>
        <v>200000</v>
      </c>
      <c r="K27" s="8"/>
      <c r="L27" s="97">
        <v>0</v>
      </c>
      <c r="M27" s="8"/>
      <c r="N27" s="97">
        <f t="shared" si="7"/>
        <v>200000</v>
      </c>
      <c r="O27" s="8"/>
      <c r="P27" s="97">
        <f t="shared" si="8"/>
        <v>0</v>
      </c>
      <c r="Q27" s="8"/>
      <c r="R27" s="97">
        <f t="shared" si="9"/>
        <v>200000</v>
      </c>
      <c r="T27" s="97">
        <f t="shared" si="9"/>
        <v>0</v>
      </c>
    </row>
    <row r="28" spans="1:32" customFormat="1" ht="9" customHeight="1" x14ac:dyDescent="0.25">
      <c r="A28" s="1"/>
      <c r="B28" s="16"/>
      <c r="C28" s="17"/>
      <c r="D28" s="45"/>
      <c r="E28" s="5"/>
      <c r="F28" s="74"/>
      <c r="G28" s="7"/>
      <c r="H28" s="75"/>
      <c r="I28" s="7"/>
      <c r="J28" s="75"/>
      <c r="K28" s="7"/>
      <c r="L28" s="75"/>
      <c r="M28" s="7"/>
      <c r="N28" s="75"/>
      <c r="O28" s="7"/>
      <c r="P28" s="75"/>
      <c r="Q28" s="7"/>
      <c r="R28" s="75"/>
      <c r="S28" s="1"/>
      <c r="T28" s="7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5">
      <c r="B29" s="56" t="s">
        <v>9</v>
      </c>
      <c r="C29" s="59" t="s">
        <v>24</v>
      </c>
      <c r="D29" s="98" t="s">
        <v>27</v>
      </c>
      <c r="E29" s="5"/>
      <c r="F29" s="97">
        <f>'Investment Allocation'!I73</f>
        <v>400000</v>
      </c>
      <c r="G29" s="8"/>
      <c r="H29" s="97">
        <v>0</v>
      </c>
      <c r="I29" s="8"/>
      <c r="J29" s="97">
        <f t="shared" si="6"/>
        <v>400000</v>
      </c>
      <c r="K29" s="8"/>
      <c r="L29" s="97">
        <v>0</v>
      </c>
      <c r="M29" s="8"/>
      <c r="N29" s="97">
        <f t="shared" si="7"/>
        <v>400000</v>
      </c>
      <c r="O29" s="8"/>
      <c r="P29" s="97">
        <f t="shared" si="8"/>
        <v>0</v>
      </c>
      <c r="Q29" s="8"/>
      <c r="R29" s="97">
        <f t="shared" si="9"/>
        <v>400000</v>
      </c>
      <c r="T29" s="97">
        <f t="shared" si="9"/>
        <v>0</v>
      </c>
    </row>
    <row r="30" spans="1:32" customFormat="1" ht="9" customHeight="1" x14ac:dyDescent="0.25">
      <c r="A30" s="1"/>
      <c r="B30" s="16"/>
      <c r="C30" s="17"/>
      <c r="D30" s="45"/>
      <c r="E30" s="5"/>
      <c r="F30" s="74"/>
      <c r="G30" s="7"/>
      <c r="H30" s="75"/>
      <c r="I30" s="7"/>
      <c r="J30" s="75"/>
      <c r="K30" s="7"/>
      <c r="L30" s="75"/>
      <c r="M30" s="7"/>
      <c r="N30" s="75"/>
      <c r="O30" s="7"/>
      <c r="P30" s="75"/>
      <c r="Q30" s="7"/>
      <c r="R30" s="75"/>
      <c r="S30" s="1"/>
      <c r="T30" s="7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B31" s="56" t="s">
        <v>9</v>
      </c>
      <c r="C31" s="59" t="s">
        <v>24</v>
      </c>
      <c r="D31" s="98" t="s">
        <v>28</v>
      </c>
      <c r="E31" s="5"/>
      <c r="F31" s="97">
        <f>'Investment Allocation'!I75</f>
        <v>150000</v>
      </c>
      <c r="G31" s="8"/>
      <c r="H31" s="97">
        <v>0</v>
      </c>
      <c r="I31" s="8"/>
      <c r="J31" s="97">
        <f t="shared" si="6"/>
        <v>150000</v>
      </c>
      <c r="K31" s="8"/>
      <c r="L31" s="97">
        <v>0</v>
      </c>
      <c r="M31" s="8"/>
      <c r="N31" s="97">
        <f t="shared" si="7"/>
        <v>150000</v>
      </c>
      <c r="O31" s="8"/>
      <c r="P31" s="97">
        <f t="shared" si="8"/>
        <v>0</v>
      </c>
      <c r="Q31" s="8"/>
      <c r="R31" s="97">
        <f t="shared" si="9"/>
        <v>150000</v>
      </c>
      <c r="T31" s="97">
        <f t="shared" si="9"/>
        <v>0</v>
      </c>
    </row>
    <row r="32" spans="1:32" customFormat="1" ht="9" customHeight="1" x14ac:dyDescent="0.25">
      <c r="A32" s="1"/>
      <c r="B32" s="16"/>
      <c r="C32" s="17"/>
      <c r="D32" s="45"/>
      <c r="E32" s="5"/>
      <c r="F32" s="74"/>
      <c r="G32" s="7"/>
      <c r="H32" s="75"/>
      <c r="I32" s="7"/>
      <c r="J32" s="75"/>
      <c r="K32" s="7"/>
      <c r="L32" s="75"/>
      <c r="M32" s="7"/>
      <c r="N32" s="75"/>
      <c r="O32" s="7"/>
      <c r="P32" s="75"/>
      <c r="Q32" s="7"/>
      <c r="R32" s="75"/>
      <c r="S32" s="1"/>
      <c r="T32" s="7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B33" s="56" t="s">
        <v>9</v>
      </c>
      <c r="C33" s="59" t="s">
        <v>24</v>
      </c>
      <c r="D33" s="98" t="s">
        <v>29</v>
      </c>
      <c r="E33" s="5"/>
      <c r="F33" s="97">
        <f>'Investment Allocation'!I77</f>
        <v>150000</v>
      </c>
      <c r="G33" s="8"/>
      <c r="H33" s="97">
        <v>0</v>
      </c>
      <c r="I33" s="8"/>
      <c r="J33" s="97">
        <f t="shared" si="6"/>
        <v>150000</v>
      </c>
      <c r="K33" s="8"/>
      <c r="L33" s="97">
        <v>0</v>
      </c>
      <c r="M33" s="8"/>
      <c r="N33" s="97">
        <f t="shared" si="7"/>
        <v>150000</v>
      </c>
      <c r="O33" s="8"/>
      <c r="P33" s="97">
        <f t="shared" si="8"/>
        <v>0</v>
      </c>
      <c r="Q33" s="8"/>
      <c r="R33" s="97">
        <f t="shared" si="9"/>
        <v>150000</v>
      </c>
      <c r="T33" s="97">
        <f t="shared" si="9"/>
        <v>0</v>
      </c>
    </row>
    <row r="34" spans="1:32" customFormat="1" ht="9" customHeight="1" x14ac:dyDescent="0.25">
      <c r="A34" s="1"/>
      <c r="B34" s="16"/>
      <c r="C34" s="17"/>
      <c r="D34" s="45"/>
      <c r="E34" s="5"/>
      <c r="F34" s="74"/>
      <c r="G34" s="7"/>
      <c r="H34" s="75"/>
      <c r="I34" s="7"/>
      <c r="J34" s="75"/>
      <c r="K34" s="7"/>
      <c r="L34" s="75"/>
      <c r="M34" s="7"/>
      <c r="N34" s="75"/>
      <c r="O34" s="7"/>
      <c r="P34" s="75"/>
      <c r="Q34" s="7"/>
      <c r="R34" s="75"/>
      <c r="S34" s="1"/>
      <c r="T34" s="7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B35" s="56" t="s">
        <v>9</v>
      </c>
      <c r="C35" s="59" t="s">
        <v>34</v>
      </c>
      <c r="D35" s="98" t="s">
        <v>35</v>
      </c>
      <c r="E35" s="5"/>
      <c r="F35" s="97">
        <f>'Investment Allocation'!F65</f>
        <v>200000</v>
      </c>
      <c r="G35" s="8"/>
      <c r="H35" s="97">
        <f>F35</f>
        <v>200000</v>
      </c>
      <c r="I35" s="8"/>
      <c r="J35" s="97">
        <f>H35</f>
        <v>200000</v>
      </c>
      <c r="K35" s="8"/>
      <c r="L35" s="97">
        <f>H35</f>
        <v>200000</v>
      </c>
      <c r="M35" s="8"/>
      <c r="N35" s="97">
        <f>H35</f>
        <v>200000</v>
      </c>
      <c r="O35" s="8"/>
      <c r="P35" s="97">
        <f>H35</f>
        <v>200000</v>
      </c>
      <c r="Q35" s="8"/>
      <c r="R35" s="97">
        <f t="shared" si="9"/>
        <v>200000</v>
      </c>
      <c r="T35" s="97">
        <f t="shared" si="9"/>
        <v>200000</v>
      </c>
    </row>
    <row r="36" spans="1:32" customFormat="1" ht="9" customHeight="1" x14ac:dyDescent="0.25">
      <c r="A36" s="1"/>
      <c r="B36" s="16"/>
      <c r="C36" s="17"/>
      <c r="D36" s="45"/>
      <c r="E36" s="5"/>
      <c r="F36" s="74"/>
      <c r="G36" s="7"/>
      <c r="H36" s="75"/>
      <c r="I36" s="7"/>
      <c r="J36" s="75"/>
      <c r="K36" s="7"/>
      <c r="L36" s="75"/>
      <c r="M36" s="7"/>
      <c r="N36" s="75"/>
      <c r="O36" s="7"/>
      <c r="P36" s="75"/>
      <c r="Q36" s="7"/>
      <c r="R36" s="75"/>
      <c r="S36" s="1"/>
      <c r="T36" s="7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B37" s="56" t="s">
        <v>66</v>
      </c>
      <c r="C37" s="59" t="s">
        <v>183</v>
      </c>
      <c r="D37" s="98" t="s">
        <v>32</v>
      </c>
      <c r="E37" s="5"/>
      <c r="F37" s="97">
        <f>'Investment Allocation'!F79</f>
        <v>5000</v>
      </c>
      <c r="G37" s="8"/>
      <c r="H37" s="97">
        <f>F37</f>
        <v>5000</v>
      </c>
      <c r="I37" s="8"/>
      <c r="J37" s="97">
        <f t="shared" si="6"/>
        <v>5000</v>
      </c>
      <c r="K37" s="8"/>
      <c r="L37" s="97">
        <f t="shared" ref="L37:L39" si="10">F37</f>
        <v>5000</v>
      </c>
      <c r="M37" s="8"/>
      <c r="N37" s="97">
        <f t="shared" si="7"/>
        <v>5000</v>
      </c>
      <c r="O37" s="8"/>
      <c r="P37" s="97">
        <f t="shared" si="8"/>
        <v>5000</v>
      </c>
      <c r="Q37" s="8"/>
      <c r="R37" s="97">
        <f t="shared" si="9"/>
        <v>5000</v>
      </c>
      <c r="T37" s="97">
        <f t="shared" si="9"/>
        <v>5000</v>
      </c>
    </row>
    <row r="38" spans="1:32" customFormat="1" ht="9" customHeight="1" x14ac:dyDescent="0.25">
      <c r="A38" s="1"/>
      <c r="B38" s="16"/>
      <c r="C38" s="17"/>
      <c r="D38" s="45"/>
      <c r="E38" s="5"/>
      <c r="F38" s="74"/>
      <c r="G38" s="7"/>
      <c r="H38" s="75"/>
      <c r="I38" s="7"/>
      <c r="J38" s="75"/>
      <c r="K38" s="7"/>
      <c r="L38" s="75"/>
      <c r="M38" s="7"/>
      <c r="N38" s="75"/>
      <c r="O38" s="7"/>
      <c r="P38" s="75"/>
      <c r="Q38" s="7"/>
      <c r="R38" s="75"/>
      <c r="S38" s="1"/>
      <c r="T38" s="7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B39" s="56" t="s">
        <v>66</v>
      </c>
      <c r="C39" s="59" t="s">
        <v>183</v>
      </c>
      <c r="D39" s="98" t="s">
        <v>30</v>
      </c>
      <c r="E39" s="5"/>
      <c r="F39" s="97">
        <f>'Investment Allocation'!F89</f>
        <v>15000</v>
      </c>
      <c r="G39" s="8"/>
      <c r="H39" s="97">
        <f>F39</f>
        <v>15000</v>
      </c>
      <c r="I39" s="8"/>
      <c r="J39" s="97">
        <f t="shared" si="6"/>
        <v>15000</v>
      </c>
      <c r="K39" s="8"/>
      <c r="L39" s="97">
        <f t="shared" si="10"/>
        <v>15000</v>
      </c>
      <c r="M39" s="8"/>
      <c r="N39" s="97">
        <f t="shared" si="7"/>
        <v>15000</v>
      </c>
      <c r="O39" s="8"/>
      <c r="P39" s="97">
        <f t="shared" si="8"/>
        <v>15000</v>
      </c>
      <c r="Q39" s="8"/>
      <c r="R39" s="97">
        <f t="shared" si="9"/>
        <v>15000</v>
      </c>
      <c r="T39" s="97">
        <f t="shared" si="9"/>
        <v>15000</v>
      </c>
    </row>
    <row r="40" spans="1:32" customFormat="1" ht="9" customHeight="1" x14ac:dyDescent="0.25">
      <c r="A40" s="1"/>
      <c r="B40" s="16"/>
      <c r="C40" s="17"/>
      <c r="D40" s="45"/>
      <c r="E40" s="5"/>
      <c r="F40" s="74"/>
      <c r="G40" s="7"/>
      <c r="H40" s="75"/>
      <c r="I40" s="7"/>
      <c r="J40" s="75"/>
      <c r="K40" s="7"/>
      <c r="L40" s="75"/>
      <c r="M40" s="7"/>
      <c r="N40" s="75"/>
      <c r="O40" s="7"/>
      <c r="P40" s="75"/>
      <c r="Q40" s="7"/>
      <c r="R40" s="75"/>
      <c r="S40" s="1"/>
      <c r="T40" s="7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customFormat="1" ht="13.5" customHeight="1" x14ac:dyDescent="0.25">
      <c r="A41" s="1"/>
      <c r="B41" s="56" t="s">
        <v>66</v>
      </c>
      <c r="C41" s="59" t="s">
        <v>121</v>
      </c>
      <c r="D41" s="98" t="s">
        <v>123</v>
      </c>
      <c r="E41" s="5"/>
      <c r="F41" s="96">
        <f>'Investment Allocation'!F85</f>
        <v>250000</v>
      </c>
      <c r="G41" s="7"/>
      <c r="H41" s="97">
        <f>F41</f>
        <v>250000</v>
      </c>
      <c r="I41" s="7"/>
      <c r="J41" s="97">
        <f>H41</f>
        <v>250000</v>
      </c>
      <c r="K41" s="7"/>
      <c r="L41" s="97">
        <f>H41</f>
        <v>250000</v>
      </c>
      <c r="M41" s="7"/>
      <c r="N41" s="97">
        <f>H41</f>
        <v>250000</v>
      </c>
      <c r="O41" s="7"/>
      <c r="P41" s="97">
        <f>H41</f>
        <v>250000</v>
      </c>
      <c r="Q41" s="7"/>
      <c r="R41" s="97">
        <f>H41</f>
        <v>250000</v>
      </c>
      <c r="S41" s="1"/>
      <c r="T41" s="97">
        <f>J41</f>
        <v>250000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customFormat="1" ht="9" customHeight="1" x14ac:dyDescent="0.25">
      <c r="A42" s="1"/>
      <c r="B42" s="16"/>
      <c r="C42" s="17"/>
      <c r="D42" s="45"/>
      <c r="E42" s="5"/>
      <c r="F42" s="74"/>
      <c r="G42" s="7"/>
      <c r="H42" s="75"/>
      <c r="I42" s="7"/>
      <c r="J42" s="75"/>
      <c r="K42" s="7"/>
      <c r="L42" s="75"/>
      <c r="M42" s="7"/>
      <c r="N42" s="75"/>
      <c r="O42" s="7"/>
      <c r="P42" s="75"/>
      <c r="Q42" s="7"/>
      <c r="R42" s="75"/>
      <c r="S42" s="1"/>
      <c r="T42" s="7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thickBot="1" x14ac:dyDescent="0.3">
      <c r="B43" s="99" t="s">
        <v>66</v>
      </c>
      <c r="C43" s="100" t="s">
        <v>67</v>
      </c>
      <c r="D43" s="101" t="s">
        <v>31</v>
      </c>
      <c r="E43" s="5"/>
      <c r="F43" s="102">
        <f>'Investment Allocation'!F83</f>
        <v>50000</v>
      </c>
      <c r="G43" s="8"/>
      <c r="H43" s="102">
        <f>F43</f>
        <v>50000</v>
      </c>
      <c r="I43" s="8"/>
      <c r="J43" s="102">
        <f>H43</f>
        <v>50000</v>
      </c>
      <c r="K43" s="8"/>
      <c r="L43" s="102">
        <f>J43</f>
        <v>50000</v>
      </c>
      <c r="M43" s="8"/>
      <c r="N43" s="102">
        <f>L43</f>
        <v>50000</v>
      </c>
      <c r="O43" s="8"/>
      <c r="P43" s="102">
        <f t="shared" si="8"/>
        <v>50000</v>
      </c>
      <c r="Q43" s="8"/>
      <c r="R43" s="102">
        <f t="shared" si="9"/>
        <v>50000</v>
      </c>
      <c r="T43" s="102">
        <f t="shared" si="9"/>
        <v>50000</v>
      </c>
    </row>
    <row r="44" spans="1:32" ht="9.75" customHeight="1" thickBot="1" x14ac:dyDescent="0.3"/>
    <row r="45" spans="1:32" ht="15.75" thickBot="1" x14ac:dyDescent="0.3">
      <c r="F45" s="95">
        <f>SUM(F7:F43)</f>
        <v>2895000</v>
      </c>
      <c r="G45" s="8"/>
      <c r="H45" s="95">
        <f>SUM(H7:H43)</f>
        <v>1895000</v>
      </c>
      <c r="I45" s="8"/>
      <c r="J45" s="95">
        <f>SUM(J7:J43)</f>
        <v>2895000</v>
      </c>
      <c r="K45" s="8"/>
      <c r="L45" s="95">
        <f>SUM(L7:L43)</f>
        <v>1895000</v>
      </c>
      <c r="M45" s="8"/>
      <c r="N45" s="95">
        <f>SUM(N7:N43)</f>
        <v>2895000</v>
      </c>
      <c r="O45" s="8"/>
      <c r="P45" s="95">
        <f>SUM(P7:P43)</f>
        <v>1895000</v>
      </c>
      <c r="Q45" s="8"/>
      <c r="R45" s="95">
        <f>SUM(R7:R43)</f>
        <v>2895000</v>
      </c>
      <c r="T45" s="95">
        <f>SUM(T7:T43)</f>
        <v>1895000</v>
      </c>
    </row>
    <row r="48" spans="1:32" x14ac:dyDescent="0.25">
      <c r="B48" s="5"/>
      <c r="C48" s="5"/>
      <c r="D48" s="5"/>
      <c r="E48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W39"/>
  <sheetViews>
    <sheetView workbookViewId="0">
      <selection activeCell="A13" sqref="A13"/>
    </sheetView>
  </sheetViews>
  <sheetFormatPr baseColWidth="10" defaultRowHeight="15" x14ac:dyDescent="0.25"/>
  <cols>
    <col min="1" max="1" width="2.140625" style="1" customWidth="1"/>
    <col min="2" max="2" width="31.28515625" style="1" customWidth="1"/>
    <col min="3" max="3" width="19.42578125" style="1" customWidth="1"/>
    <col min="4" max="4" width="1.42578125" style="1" customWidth="1"/>
    <col min="5" max="5" width="3.7109375" style="1" customWidth="1"/>
    <col min="6" max="6" width="20.28515625" style="1" customWidth="1"/>
    <col min="7" max="7" width="16" style="1" customWidth="1"/>
    <col min="8" max="8" width="6.140625" style="1" customWidth="1"/>
    <col min="9" max="10" width="15.85546875" style="1" customWidth="1"/>
    <col min="11" max="11" width="16" style="1" customWidth="1"/>
    <col min="12" max="12" width="15.85546875" style="1" customWidth="1"/>
    <col min="13" max="15" width="16" style="1" customWidth="1"/>
    <col min="16" max="16" width="2.140625" style="1" customWidth="1"/>
    <col min="17" max="17" width="16.28515625" style="1" bestFit="1" customWidth="1"/>
    <col min="18" max="18" width="2.28515625" style="1" customWidth="1"/>
    <col min="19" max="19" width="4.42578125" style="1" customWidth="1"/>
    <col min="20" max="20" width="59" style="1" customWidth="1"/>
    <col min="21" max="21" width="22.140625" style="1" customWidth="1"/>
    <col min="22" max="22" width="20.7109375" style="1" customWidth="1"/>
    <col min="23" max="23" width="55" style="1" customWidth="1"/>
    <col min="24" max="24" width="11.42578125" style="1"/>
    <col min="25" max="25" width="30.28515625" style="1" customWidth="1"/>
    <col min="26" max="16384" width="11.42578125" style="1"/>
  </cols>
  <sheetData>
    <row r="2" spans="2:23" ht="42.75" customHeight="1" x14ac:dyDescent="0.6">
      <c r="B2" s="190" t="s">
        <v>104</v>
      </c>
      <c r="C2" s="12"/>
      <c r="D2" s="12"/>
      <c r="E2" s="12"/>
      <c r="F2" s="12"/>
      <c r="G2" s="12"/>
      <c r="H2" s="12"/>
      <c r="I2" s="12"/>
      <c r="J2" s="12"/>
    </row>
    <row r="3" spans="2:23" ht="15.75" thickBot="1" x14ac:dyDescent="0.3"/>
    <row r="4" spans="2:23" ht="19.5" thickBot="1" x14ac:dyDescent="0.35">
      <c r="B4" s="242" t="s">
        <v>179</v>
      </c>
      <c r="C4" s="243"/>
      <c r="D4" s="34"/>
      <c r="F4" s="242" t="s">
        <v>178</v>
      </c>
      <c r="G4" s="243"/>
      <c r="H4" s="243"/>
      <c r="I4" s="243"/>
      <c r="J4" s="33"/>
      <c r="K4" s="33"/>
      <c r="L4" s="33"/>
      <c r="M4" s="33"/>
      <c r="N4" s="33"/>
      <c r="O4" s="33"/>
      <c r="P4" s="33"/>
      <c r="Q4" s="33"/>
      <c r="R4" s="34"/>
      <c r="T4" s="271" t="s">
        <v>166</v>
      </c>
      <c r="U4" s="272"/>
      <c r="V4" s="33"/>
      <c r="W4" s="34"/>
    </row>
    <row r="5" spans="2:23" ht="15.75" customHeight="1" x14ac:dyDescent="0.25">
      <c r="B5" s="19"/>
      <c r="C5" s="5"/>
      <c r="D5" s="20"/>
      <c r="F5" s="1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20"/>
      <c r="T5" s="19"/>
      <c r="U5" s="5"/>
      <c r="V5" s="5"/>
      <c r="W5" s="20"/>
    </row>
    <row r="6" spans="2:23" ht="30" x14ac:dyDescent="0.25">
      <c r="B6" s="160" t="s">
        <v>177</v>
      </c>
      <c r="C6" s="201" t="s">
        <v>162</v>
      </c>
      <c r="D6" s="158"/>
      <c r="F6" s="207" t="s">
        <v>161</v>
      </c>
      <c r="G6" s="208" t="s">
        <v>60</v>
      </c>
      <c r="H6" s="5"/>
      <c r="I6" s="208" t="s">
        <v>56</v>
      </c>
      <c r="J6" s="208" t="s">
        <v>57</v>
      </c>
      <c r="K6" s="208" t="s">
        <v>89</v>
      </c>
      <c r="L6" s="208" t="s">
        <v>90</v>
      </c>
      <c r="M6" s="208" t="s">
        <v>116</v>
      </c>
      <c r="N6" s="208" t="s">
        <v>117</v>
      </c>
      <c r="O6" s="208" t="s">
        <v>118</v>
      </c>
      <c r="P6" s="47"/>
      <c r="Q6" s="47"/>
      <c r="R6" s="20"/>
      <c r="T6" s="160" t="s">
        <v>69</v>
      </c>
      <c r="U6" s="161" t="s">
        <v>167</v>
      </c>
      <c r="V6" s="161" t="s">
        <v>168</v>
      </c>
      <c r="W6" s="162" t="s">
        <v>70</v>
      </c>
    </row>
    <row r="7" spans="2:23" x14ac:dyDescent="0.25">
      <c r="B7" s="116">
        <v>0.3</v>
      </c>
      <c r="C7" s="159">
        <v>1700000</v>
      </c>
      <c r="D7" s="98"/>
      <c r="F7" s="35" t="s">
        <v>163</v>
      </c>
      <c r="G7" s="189">
        <f>Income!D18</f>
        <v>2500</v>
      </c>
      <c r="H7" s="5"/>
      <c r="I7" s="8"/>
      <c r="J7" s="4">
        <f>IF('Variable Assumptions'!D18=30%,'Mining F. Expenses'!G7*'Mining F. Expenses'!C7/1000,IF('Variable Assumptions'!D18=40%,'Mining F. Expenses'!G7*'Mining F. Expenses'!C8/1000))</f>
        <v>3500000</v>
      </c>
      <c r="K7" s="8">
        <f>J7*2</f>
        <v>7000000</v>
      </c>
      <c r="L7" s="8">
        <f>J7*3</f>
        <v>10500000</v>
      </c>
      <c r="M7" s="8">
        <f>J7*4</f>
        <v>14000000</v>
      </c>
      <c r="N7" s="8">
        <f>M7</f>
        <v>14000000</v>
      </c>
      <c r="O7" s="8">
        <f>N7</f>
        <v>14000000</v>
      </c>
      <c r="P7" s="5"/>
      <c r="Q7" s="5"/>
      <c r="R7" s="20"/>
      <c r="T7" s="76" t="s">
        <v>131</v>
      </c>
      <c r="U7" s="163">
        <v>2500000</v>
      </c>
      <c r="V7" s="163">
        <v>4500000</v>
      </c>
      <c r="W7" s="78" t="s">
        <v>145</v>
      </c>
    </row>
    <row r="8" spans="2:23" ht="18" customHeight="1" x14ac:dyDescent="0.25">
      <c r="B8" s="116">
        <v>0.4</v>
      </c>
      <c r="C8" s="159">
        <v>1400000</v>
      </c>
      <c r="D8" s="98"/>
      <c r="F8" s="35" t="s">
        <v>164</v>
      </c>
      <c r="G8" s="189">
        <f>Income!D19</f>
        <v>2500</v>
      </c>
      <c r="H8" s="5"/>
      <c r="I8" s="5"/>
      <c r="J8" s="5"/>
      <c r="K8" s="4">
        <f>IF('Variable Assumptions'!D18=30%,'Mining F. Expenses'!G8*'Mining F. Expenses'!C7/1000,IF('Variable Assumptions'!D18=40%,'Mining F. Expenses'!G8*'Mining F. Expenses'!C8/1000))</f>
        <v>3500000</v>
      </c>
      <c r="L8" s="8">
        <f>K8*2</f>
        <v>7000000</v>
      </c>
      <c r="M8" s="8">
        <f>K8*3</f>
        <v>10500000</v>
      </c>
      <c r="N8" s="8">
        <f>K8*4</f>
        <v>14000000</v>
      </c>
      <c r="O8" s="8">
        <f>N8</f>
        <v>14000000</v>
      </c>
      <c r="P8" s="5"/>
      <c r="Q8" s="5"/>
      <c r="R8" s="20"/>
      <c r="T8" s="76" t="s">
        <v>132</v>
      </c>
      <c r="U8" s="163">
        <v>3000000</v>
      </c>
      <c r="V8" s="163">
        <v>6000000</v>
      </c>
      <c r="W8" s="78" t="s">
        <v>146</v>
      </c>
    </row>
    <row r="9" spans="2:23" ht="18" customHeight="1" thickBot="1" x14ac:dyDescent="0.3">
      <c r="B9" s="21"/>
      <c r="C9" s="22"/>
      <c r="D9" s="23"/>
      <c r="F9" s="35" t="s">
        <v>165</v>
      </c>
      <c r="G9" s="189">
        <f>Income!D20</f>
        <v>2500</v>
      </c>
      <c r="H9" s="5"/>
      <c r="I9" s="5"/>
      <c r="J9" s="5"/>
      <c r="K9" s="5"/>
      <c r="L9" s="4">
        <f>IF('Variable Assumptions'!D18=30%,'Mining F. Expenses'!G9*'Mining F. Expenses'!C7/1000,IF('Variable Assumptions'!D18=40%,'Mining F. Expenses'!G9*'Mining F. Expenses'!C8/1000))</f>
        <v>3500000</v>
      </c>
      <c r="M9" s="8">
        <f>L9*2</f>
        <v>7000000</v>
      </c>
      <c r="N9" s="8">
        <f>L9*3</f>
        <v>10500000</v>
      </c>
      <c r="O9" s="8">
        <f>L9*4</f>
        <v>14000000</v>
      </c>
      <c r="P9" s="5"/>
      <c r="Q9" s="5"/>
      <c r="R9" s="20"/>
      <c r="T9" s="76" t="s">
        <v>133</v>
      </c>
      <c r="U9" s="163">
        <v>4000000</v>
      </c>
      <c r="V9" s="163">
        <v>8000000</v>
      </c>
      <c r="W9" s="78" t="s">
        <v>147</v>
      </c>
    </row>
    <row r="10" spans="2:23" ht="15.75" thickBot="1" x14ac:dyDescent="0.3">
      <c r="F10" s="35"/>
      <c r="G10" s="189"/>
      <c r="H10" s="5"/>
      <c r="I10" s="12"/>
      <c r="J10" s="12"/>
      <c r="K10" s="12"/>
      <c r="L10" s="12"/>
      <c r="M10" s="4">
        <f>IF('Variable Assumptions'!D18=30%,'Mining F. Expenses'!G10*'Mining F. Expenses'!C7/1000,IF('Variable Assumptions'!D18=40%,'Mining F. Expenses'!G10*'Mining F. Expenses'!C8/1000))</f>
        <v>0</v>
      </c>
      <c r="N10" s="4"/>
      <c r="O10" s="4"/>
      <c r="P10" s="4"/>
      <c r="Q10" s="4"/>
      <c r="R10" s="20"/>
      <c r="T10" s="76" t="s">
        <v>134</v>
      </c>
      <c r="U10" s="163">
        <v>183600</v>
      </c>
      <c r="V10" s="163">
        <v>183600</v>
      </c>
      <c r="W10" s="78" t="s">
        <v>148</v>
      </c>
    </row>
    <row r="11" spans="2:23" ht="15.75" thickBot="1" x14ac:dyDescent="0.3">
      <c r="F11" s="38"/>
      <c r="G11" s="39"/>
      <c r="H11" s="203" t="s">
        <v>180</v>
      </c>
      <c r="I11" s="91">
        <f>I7</f>
        <v>0</v>
      </c>
      <c r="J11" s="91">
        <f>J7</f>
        <v>3500000</v>
      </c>
      <c r="K11" s="91">
        <f>K7+K8</f>
        <v>10500000</v>
      </c>
      <c r="L11" s="91">
        <f>L7+L8+L9</f>
        <v>21000000</v>
      </c>
      <c r="M11" s="178">
        <f>M7+M8+M9+M10</f>
        <v>31500000</v>
      </c>
      <c r="N11" s="178">
        <f t="shared" ref="N11:O11" si="0">N7+N8+N9+N10</f>
        <v>38500000</v>
      </c>
      <c r="O11" s="178">
        <f t="shared" si="0"/>
        <v>42000000</v>
      </c>
      <c r="P11" s="36"/>
      <c r="Q11" s="95">
        <f>I11+J11+K11+L11+M11</f>
        <v>66500000</v>
      </c>
      <c r="R11" s="23"/>
      <c r="T11" s="76" t="s">
        <v>135</v>
      </c>
      <c r="U11" s="163">
        <v>244800</v>
      </c>
      <c r="V11" s="163">
        <v>244800</v>
      </c>
      <c r="W11" s="78" t="s">
        <v>149</v>
      </c>
    </row>
    <row r="12" spans="2:23" x14ac:dyDescent="0.25">
      <c r="T12" s="76" t="s">
        <v>136</v>
      </c>
      <c r="U12" s="163">
        <v>150000</v>
      </c>
      <c r="V12" s="163">
        <v>300000</v>
      </c>
      <c r="W12" s="78" t="s">
        <v>150</v>
      </c>
    </row>
    <row r="13" spans="2:23" x14ac:dyDescent="0.25">
      <c r="T13" s="76" t="s">
        <v>137</v>
      </c>
      <c r="U13" s="163">
        <v>80000</v>
      </c>
      <c r="V13" s="163">
        <v>150000</v>
      </c>
      <c r="W13" s="78" t="s">
        <v>151</v>
      </c>
    </row>
    <row r="14" spans="2:23" ht="15.75" customHeight="1" x14ac:dyDescent="0.25">
      <c r="T14" s="76" t="s">
        <v>138</v>
      </c>
      <c r="U14" s="163">
        <v>500000</v>
      </c>
      <c r="V14" s="163">
        <v>1000000</v>
      </c>
      <c r="W14" s="78" t="s">
        <v>152</v>
      </c>
    </row>
    <row r="15" spans="2:23" x14ac:dyDescent="0.25">
      <c r="T15" s="76" t="s">
        <v>139</v>
      </c>
      <c r="U15" s="163">
        <v>800000</v>
      </c>
      <c r="V15" s="163">
        <v>1500000</v>
      </c>
      <c r="W15" s="78" t="s">
        <v>153</v>
      </c>
    </row>
    <row r="16" spans="2:23" x14ac:dyDescent="0.25">
      <c r="T16" s="76" t="s">
        <v>140</v>
      </c>
      <c r="U16" s="163">
        <v>1000000</v>
      </c>
      <c r="V16" s="163">
        <v>2000000</v>
      </c>
      <c r="W16" s="78" t="s">
        <v>154</v>
      </c>
    </row>
    <row r="17" spans="2:23" ht="17.25" x14ac:dyDescent="0.25">
      <c r="T17" s="76" t="s">
        <v>141</v>
      </c>
      <c r="U17" s="196">
        <v>1000000</v>
      </c>
      <c r="V17" s="196">
        <v>2000000</v>
      </c>
      <c r="W17" s="78" t="s">
        <v>155</v>
      </c>
    </row>
    <row r="18" spans="2:23" ht="15.75" thickBot="1" x14ac:dyDescent="0.3">
      <c r="T18" s="56"/>
      <c r="U18" s="131">
        <f>SUM(U7:U17)</f>
        <v>13458400</v>
      </c>
      <c r="V18" s="131">
        <f>SUM(V7:V17)</f>
        <v>25878400</v>
      </c>
      <c r="W18" s="98"/>
    </row>
    <row r="19" spans="2:23" ht="21" customHeight="1" thickBot="1" x14ac:dyDescent="0.3">
      <c r="T19" s="46"/>
      <c r="U19" s="270" t="s">
        <v>169</v>
      </c>
      <c r="V19" s="270"/>
      <c r="W19" s="202">
        <f>(U18+V18)/2</f>
        <v>19668400</v>
      </c>
    </row>
    <row r="29" spans="2:23" x14ac:dyDescent="0.25">
      <c r="B29" s="41"/>
      <c r="C29" s="42"/>
      <c r="D29" s="42"/>
      <c r="E29" s="42"/>
    </row>
    <row r="30" spans="2:23" x14ac:dyDescent="0.25">
      <c r="B30" s="41"/>
      <c r="C30" s="42"/>
      <c r="D30" s="42"/>
      <c r="E30" s="42"/>
    </row>
    <row r="31" spans="2:23" x14ac:dyDescent="0.25">
      <c r="B31" s="41"/>
      <c r="C31" s="42"/>
      <c r="D31" s="42"/>
      <c r="E31" s="42"/>
    </row>
    <row r="32" spans="2:23" x14ac:dyDescent="0.25">
      <c r="B32" s="41"/>
      <c r="C32" s="42"/>
      <c r="D32" s="42"/>
      <c r="E32" s="42"/>
    </row>
    <row r="33" spans="2:5" x14ac:dyDescent="0.25">
      <c r="B33" s="41"/>
      <c r="C33" s="42"/>
      <c r="D33" s="42"/>
      <c r="E33" s="42"/>
    </row>
    <row r="34" spans="2:5" x14ac:dyDescent="0.25">
      <c r="B34" s="41"/>
      <c r="C34" s="42"/>
      <c r="D34" s="42"/>
      <c r="E34" s="42"/>
    </row>
    <row r="35" spans="2:5" x14ac:dyDescent="0.25">
      <c r="B35" s="41"/>
      <c r="C35" s="42"/>
      <c r="D35" s="42"/>
      <c r="E35" s="42"/>
    </row>
    <row r="36" spans="2:5" x14ac:dyDescent="0.25">
      <c r="B36" s="41"/>
      <c r="C36" s="42"/>
      <c r="D36" s="42"/>
      <c r="E36" s="42"/>
    </row>
    <row r="37" spans="2:5" x14ac:dyDescent="0.25">
      <c r="B37" s="41"/>
      <c r="C37" s="42"/>
      <c r="D37" s="42"/>
      <c r="E37" s="42"/>
    </row>
    <row r="38" spans="2:5" x14ac:dyDescent="0.25">
      <c r="B38" s="41"/>
      <c r="C38" s="43"/>
      <c r="D38" s="43"/>
      <c r="E38" s="43"/>
    </row>
    <row r="39" spans="2:5" x14ac:dyDescent="0.25">
      <c r="C39" s="2"/>
      <c r="D39" s="2"/>
      <c r="E39" s="2"/>
    </row>
  </sheetData>
  <mergeCells count="4">
    <mergeCell ref="U19:V19"/>
    <mergeCell ref="F4:I4"/>
    <mergeCell ref="B4:C4"/>
    <mergeCell ref="T4:U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AP57"/>
  <sheetViews>
    <sheetView zoomScale="70" zoomScaleNormal="70" workbookViewId="0">
      <selection activeCell="D11" sqref="D11"/>
    </sheetView>
  </sheetViews>
  <sheetFormatPr baseColWidth="10" defaultRowHeight="15" x14ac:dyDescent="0.25"/>
  <cols>
    <col min="1" max="1" width="3.7109375" style="218" customWidth="1"/>
    <col min="2" max="2" width="18.7109375" style="218" bestFit="1" customWidth="1"/>
    <col min="3" max="3" width="30.42578125" style="218" customWidth="1"/>
    <col min="4" max="4" width="37.7109375" style="218" customWidth="1"/>
    <col min="5" max="5" width="22.140625" style="218" bestFit="1" customWidth="1"/>
    <col min="6" max="6" width="11.42578125" style="218"/>
    <col min="7" max="7" width="18.7109375" style="218" bestFit="1" customWidth="1"/>
    <col min="8" max="8" width="23.42578125" style="218" bestFit="1" customWidth="1"/>
    <col min="9" max="9" width="20.5703125" style="218" customWidth="1"/>
    <col min="10" max="10" width="15.140625" style="218" bestFit="1" customWidth="1"/>
    <col min="11" max="11" width="11.42578125" style="218"/>
    <col min="12" max="12" width="16.28515625" style="218" bestFit="1" customWidth="1"/>
    <col min="13" max="14" width="11.42578125" style="218"/>
    <col min="15" max="15" width="16.28515625" style="218" bestFit="1" customWidth="1"/>
    <col min="16" max="16" width="11.5703125" style="218" bestFit="1" customWidth="1"/>
    <col min="17" max="20" width="15.140625" style="218" bestFit="1" customWidth="1"/>
    <col min="21" max="21" width="14.7109375" style="218" customWidth="1"/>
    <col min="22" max="23" width="15.5703125" style="218" bestFit="1" customWidth="1"/>
    <col min="24" max="24" width="16" style="218" bestFit="1" customWidth="1"/>
    <col min="25" max="27" width="16.28515625" style="218" bestFit="1" customWidth="1"/>
    <col min="28" max="28" width="11.42578125" style="218"/>
    <col min="29" max="29" width="20.5703125" style="218" customWidth="1"/>
    <col min="30" max="31" width="11.42578125" style="218"/>
    <col min="32" max="32" width="9.42578125" style="218" customWidth="1"/>
    <col min="33" max="39" width="10.42578125" style="218" customWidth="1"/>
    <col min="40" max="40" width="14.140625" style="218" bestFit="1" customWidth="1"/>
    <col min="41" max="42" width="10.42578125" style="218" customWidth="1"/>
    <col min="43" max="16384" width="11.42578125" style="218"/>
  </cols>
  <sheetData>
    <row r="2" spans="2:29" ht="30" x14ac:dyDescent="0.25">
      <c r="B2" s="213" t="s">
        <v>47</v>
      </c>
      <c r="C2" s="213" t="s">
        <v>48</v>
      </c>
      <c r="D2" s="213" t="s">
        <v>49</v>
      </c>
      <c r="E2" s="213" t="s">
        <v>46</v>
      </c>
      <c r="F2" s="214" t="s">
        <v>61</v>
      </c>
      <c r="G2" s="215" t="s">
        <v>47</v>
      </c>
      <c r="H2" s="215" t="s">
        <v>50</v>
      </c>
      <c r="I2" s="213" t="s">
        <v>51</v>
      </c>
      <c r="J2" s="215" t="s">
        <v>59</v>
      </c>
      <c r="K2" s="216" t="s">
        <v>64</v>
      </c>
      <c r="L2" s="217">
        <f>IF('Variable Assumptions'!D18=30%,65,IF('Variable Assumptions'!D18=40%,70,))</f>
        <v>70</v>
      </c>
      <c r="P2" s="219" t="s">
        <v>106</v>
      </c>
      <c r="Q2" s="220">
        <v>0</v>
      </c>
      <c r="S2" s="219" t="s">
        <v>129</v>
      </c>
      <c r="T2" s="219">
        <v>3</v>
      </c>
      <c r="U2" s="219">
        <f>T2+1</f>
        <v>4</v>
      </c>
      <c r="V2" s="219">
        <f t="shared" ref="V2:AA2" si="0">U2+1</f>
        <v>5</v>
      </c>
      <c r="W2" s="219">
        <f t="shared" si="0"/>
        <v>6</v>
      </c>
      <c r="X2" s="219">
        <f t="shared" si="0"/>
        <v>7</v>
      </c>
      <c r="Y2" s="219">
        <f t="shared" si="0"/>
        <v>8</v>
      </c>
      <c r="Z2" s="219">
        <f t="shared" si="0"/>
        <v>9</v>
      </c>
      <c r="AA2" s="219">
        <f t="shared" si="0"/>
        <v>10</v>
      </c>
    </row>
    <row r="3" spans="2:29" x14ac:dyDescent="0.25">
      <c r="B3" s="218">
        <v>0</v>
      </c>
      <c r="C3" s="218">
        <v>50000</v>
      </c>
      <c r="D3" s="218">
        <v>0.01</v>
      </c>
      <c r="E3" s="221">
        <v>0.3</v>
      </c>
      <c r="F3" s="218" t="s">
        <v>62</v>
      </c>
      <c r="G3" s="218">
        <v>0</v>
      </c>
      <c r="H3" s="220">
        <v>1000000</v>
      </c>
      <c r="I3" s="218">
        <v>3</v>
      </c>
      <c r="J3" s="220">
        <v>1000000</v>
      </c>
      <c r="O3" s="220">
        <v>10000000</v>
      </c>
      <c r="P3" s="219" t="s">
        <v>107</v>
      </c>
      <c r="Q3" s="220">
        <v>0</v>
      </c>
      <c r="S3" s="222" t="s">
        <v>65</v>
      </c>
      <c r="T3" s="223">
        <f>Integral!$E$7</f>
        <v>25000000</v>
      </c>
      <c r="U3" s="223">
        <f>Integral!$F$7</f>
        <v>25000000</v>
      </c>
      <c r="V3" s="223">
        <f>Integral!$G$7</f>
        <v>42500000</v>
      </c>
      <c r="W3" s="223">
        <f>Integral!$H$7</f>
        <v>52500000</v>
      </c>
      <c r="X3" s="223">
        <f>Integral!$I$7</f>
        <v>105000000</v>
      </c>
      <c r="Y3" s="224">
        <f>Integral!J7</f>
        <v>157500000</v>
      </c>
      <c r="Z3" s="224">
        <f>Integral!K7</f>
        <v>192500000</v>
      </c>
      <c r="AA3" s="224">
        <f>Integral!L7</f>
        <v>210000000</v>
      </c>
    </row>
    <row r="4" spans="2:29" x14ac:dyDescent="0.25">
      <c r="B4" s="218">
        <f>B3+1</f>
        <v>1</v>
      </c>
      <c r="C4" s="218">
        <f>C3+50000</f>
        <v>100000</v>
      </c>
      <c r="D4" s="225">
        <v>1.4999999999999999E-2</v>
      </c>
      <c r="E4" s="221">
        <v>0.4</v>
      </c>
      <c r="F4" s="218" t="s">
        <v>63</v>
      </c>
      <c r="G4" s="218">
        <v>1</v>
      </c>
      <c r="H4" s="220">
        <f>H3+1000000</f>
        <v>2000000</v>
      </c>
      <c r="I4" s="218">
        <v>4</v>
      </c>
      <c r="J4" s="220">
        <f>J3+1000000</f>
        <v>2000000</v>
      </c>
      <c r="O4" s="220">
        <f t="shared" ref="O4:O22" si="1">O3+10000000</f>
        <v>20000000</v>
      </c>
      <c r="P4" s="219" t="s">
        <v>108</v>
      </c>
      <c r="Q4" s="220">
        <v>50000000</v>
      </c>
    </row>
    <row r="5" spans="2:29" x14ac:dyDescent="0.25">
      <c r="B5" s="218">
        <f t="shared" ref="B5:B34" si="2">B4+1</f>
        <v>2</v>
      </c>
      <c r="C5" s="218">
        <f>C4+50000</f>
        <v>150000</v>
      </c>
      <c r="D5" s="225">
        <v>0.02</v>
      </c>
      <c r="E5" s="221">
        <v>0.2</v>
      </c>
      <c r="G5" s="218">
        <f t="shared" ref="G5:G34" si="3">G4+1</f>
        <v>2</v>
      </c>
      <c r="H5" s="220">
        <f t="shared" ref="H5:J12" si="4">H4+1000000</f>
        <v>3000000</v>
      </c>
      <c r="I5" s="218">
        <v>5</v>
      </c>
      <c r="J5" s="220">
        <f t="shared" si="4"/>
        <v>3000000</v>
      </c>
      <c r="O5" s="220">
        <f t="shared" si="1"/>
        <v>30000000</v>
      </c>
      <c r="P5" s="219" t="s">
        <v>109</v>
      </c>
      <c r="Q5" s="220">
        <v>98800000.000000015</v>
      </c>
      <c r="S5" s="226" t="s">
        <v>113</v>
      </c>
      <c r="T5" s="227">
        <f>Integral!V12</f>
        <v>0.78673599999999999</v>
      </c>
      <c r="U5" s="227">
        <f>Integral!X12</f>
        <v>0.78673599999999999</v>
      </c>
      <c r="V5" s="227">
        <f>Integral!Z12</f>
        <v>0.46278588235294116</v>
      </c>
      <c r="W5" s="227">
        <f>Integral!AB12</f>
        <v>0.37463619047619046</v>
      </c>
      <c r="X5" s="227">
        <f>Integral!AD12</f>
        <v>0.18731809523809523</v>
      </c>
      <c r="Y5" s="228">
        <f>Integral!AF12</f>
        <v>0</v>
      </c>
      <c r="Z5" s="229">
        <f>Integral!AH12</f>
        <v>0</v>
      </c>
      <c r="AA5" s="229">
        <f>Integral!AJ12</f>
        <v>0</v>
      </c>
    </row>
    <row r="6" spans="2:29" ht="30" x14ac:dyDescent="0.25">
      <c r="B6" s="218">
        <f t="shared" si="2"/>
        <v>3</v>
      </c>
      <c r="C6" s="218">
        <f>C5+50000</f>
        <v>200000</v>
      </c>
      <c r="D6" s="225">
        <v>2.5000000000000001E-2</v>
      </c>
      <c r="E6" s="221">
        <v>0.5</v>
      </c>
      <c r="G6" s="218">
        <f t="shared" si="3"/>
        <v>3</v>
      </c>
      <c r="H6" s="220">
        <f t="shared" si="4"/>
        <v>4000000</v>
      </c>
      <c r="I6" s="218">
        <v>6</v>
      </c>
      <c r="J6" s="220">
        <f t="shared" si="4"/>
        <v>4000000</v>
      </c>
      <c r="O6" s="220">
        <f t="shared" si="1"/>
        <v>40000000</v>
      </c>
      <c r="P6" s="219" t="s">
        <v>110</v>
      </c>
      <c r="Q6" s="220">
        <v>61900000.000000007</v>
      </c>
      <c r="S6" s="226" t="s">
        <v>114</v>
      </c>
      <c r="T6" s="227">
        <f>Integral!V17</f>
        <v>0.1158</v>
      </c>
      <c r="U6" s="227">
        <f>Integral!X17</f>
        <v>7.5800000000000006E-2</v>
      </c>
      <c r="V6" s="227">
        <f>Integral!Z17</f>
        <v>0.15047058823529411</v>
      </c>
      <c r="W6" s="227">
        <f>Integral!AB17</f>
        <v>0.23609523809523811</v>
      </c>
      <c r="X6" s="227">
        <f>Integral!AD17</f>
        <v>0.22757142857142856</v>
      </c>
      <c r="Y6" s="230">
        <f>Integral!AF17</f>
        <v>0.21203174603174604</v>
      </c>
      <c r="Z6" s="230">
        <f>Integral!AH17</f>
        <v>0.21503896103896103</v>
      </c>
      <c r="AA6" s="230">
        <f>Integral!AJ17</f>
        <v>0.20902380952380953</v>
      </c>
    </row>
    <row r="7" spans="2:29" x14ac:dyDescent="0.25">
      <c r="B7" s="218">
        <f t="shared" si="2"/>
        <v>4</v>
      </c>
      <c r="C7" s="218">
        <f>C6+50000</f>
        <v>250000</v>
      </c>
      <c r="D7" s="225">
        <f>D6+0.005</f>
        <v>3.0000000000000002E-2</v>
      </c>
      <c r="E7" s="221">
        <v>0.6</v>
      </c>
      <c r="G7" s="218">
        <f t="shared" si="3"/>
        <v>4</v>
      </c>
      <c r="H7" s="220">
        <f t="shared" si="4"/>
        <v>5000000</v>
      </c>
      <c r="I7" s="218">
        <v>7</v>
      </c>
      <c r="J7" s="220">
        <f t="shared" si="4"/>
        <v>5000000</v>
      </c>
      <c r="O7" s="220">
        <f t="shared" si="1"/>
        <v>50000000</v>
      </c>
      <c r="P7" s="219" t="s">
        <v>111</v>
      </c>
      <c r="Q7" s="220">
        <v>61900000.000000007</v>
      </c>
      <c r="S7" s="226" t="s">
        <v>115</v>
      </c>
      <c r="T7" s="227">
        <f>Integral!V20</f>
        <v>9.7463999999999995E-2</v>
      </c>
      <c r="U7" s="227">
        <f>Integral!X20</f>
        <v>0.137464</v>
      </c>
      <c r="V7" s="227">
        <f>Integral!Z20</f>
        <v>0.38674352941176471</v>
      </c>
      <c r="W7" s="227">
        <f>Integral!AB20</f>
        <v>0.38926857142857141</v>
      </c>
      <c r="X7" s="227">
        <f>Integral!AD20</f>
        <v>0.58511047619047618</v>
      </c>
      <c r="Y7" s="230">
        <f>Integral!AF20</f>
        <v>0.78796825396825398</v>
      </c>
      <c r="Z7" s="230">
        <f>Integral!AH20</f>
        <v>0.78496103896103897</v>
      </c>
      <c r="AA7" s="230">
        <f>Integral!AJ20</f>
        <v>0.7909761904761905</v>
      </c>
    </row>
    <row r="8" spans="2:29" x14ac:dyDescent="0.25">
      <c r="B8" s="218">
        <f t="shared" si="2"/>
        <v>5</v>
      </c>
      <c r="C8" s="218">
        <f>C7+50000</f>
        <v>300000</v>
      </c>
      <c r="D8" s="225">
        <f>D7+0.005</f>
        <v>3.5000000000000003E-2</v>
      </c>
      <c r="E8" s="221">
        <v>0.7</v>
      </c>
      <c r="G8" s="218">
        <f t="shared" si="3"/>
        <v>5</v>
      </c>
      <c r="H8" s="220">
        <f t="shared" si="4"/>
        <v>6000000</v>
      </c>
      <c r="I8" s="218">
        <v>8</v>
      </c>
      <c r="J8" s="220">
        <f t="shared" si="4"/>
        <v>6000000</v>
      </c>
      <c r="O8" s="220">
        <f t="shared" si="1"/>
        <v>60000000</v>
      </c>
      <c r="P8" s="219" t="s">
        <v>112</v>
      </c>
      <c r="Q8" s="220">
        <v>61900000.000000007</v>
      </c>
    </row>
    <row r="9" spans="2:29" x14ac:dyDescent="0.25">
      <c r="B9" s="218">
        <f t="shared" si="2"/>
        <v>6</v>
      </c>
      <c r="D9" s="225">
        <f>D8+0.005</f>
        <v>0.04</v>
      </c>
      <c r="E9" s="221">
        <v>0.8</v>
      </c>
      <c r="G9" s="218">
        <f t="shared" si="3"/>
        <v>6</v>
      </c>
      <c r="H9" s="220">
        <f t="shared" si="4"/>
        <v>7000000</v>
      </c>
      <c r="I9" s="218">
        <v>9</v>
      </c>
      <c r="J9" s="220">
        <f t="shared" si="4"/>
        <v>7000000</v>
      </c>
      <c r="O9" s="220">
        <f t="shared" si="1"/>
        <v>70000000</v>
      </c>
    </row>
    <row r="10" spans="2:29" ht="15.75" customHeight="1" thickBot="1" x14ac:dyDescent="0.3">
      <c r="B10" s="218">
        <f t="shared" si="2"/>
        <v>7</v>
      </c>
      <c r="D10" s="225">
        <f>D9+0.005</f>
        <v>4.4999999999999998E-2</v>
      </c>
      <c r="G10" s="218">
        <f t="shared" si="3"/>
        <v>7</v>
      </c>
      <c r="H10" s="220">
        <f t="shared" si="4"/>
        <v>8000000</v>
      </c>
      <c r="I10" s="218">
        <v>10</v>
      </c>
      <c r="J10" s="220">
        <f t="shared" si="4"/>
        <v>8000000</v>
      </c>
      <c r="O10" s="220">
        <f t="shared" si="1"/>
        <v>80000000</v>
      </c>
    </row>
    <row r="11" spans="2:29" ht="19.5" customHeight="1" thickBot="1" x14ac:dyDescent="0.3">
      <c r="B11" s="218">
        <f t="shared" si="2"/>
        <v>8</v>
      </c>
      <c r="D11" s="225">
        <f>D10+0.005</f>
        <v>4.9999999999999996E-2</v>
      </c>
      <c r="G11" s="218">
        <f t="shared" si="3"/>
        <v>8</v>
      </c>
      <c r="H11" s="220">
        <f t="shared" si="4"/>
        <v>9000000</v>
      </c>
      <c r="J11" s="220">
        <f t="shared" si="4"/>
        <v>9000000</v>
      </c>
      <c r="O11" s="220">
        <f t="shared" si="1"/>
        <v>90000000</v>
      </c>
      <c r="AB11" s="273" t="s">
        <v>86</v>
      </c>
      <c r="AC11" s="274"/>
    </row>
    <row r="12" spans="2:29" ht="15.75" thickBot="1" x14ac:dyDescent="0.3">
      <c r="B12" s="218">
        <f t="shared" si="2"/>
        <v>9</v>
      </c>
      <c r="G12" s="218">
        <f t="shared" si="3"/>
        <v>9</v>
      </c>
      <c r="H12" s="220">
        <f t="shared" si="4"/>
        <v>10000000</v>
      </c>
      <c r="J12" s="220">
        <f t="shared" si="4"/>
        <v>10000000</v>
      </c>
      <c r="O12" s="220">
        <f t="shared" si="1"/>
        <v>100000000</v>
      </c>
      <c r="AB12" s="231" t="s">
        <v>71</v>
      </c>
      <c r="AC12" s="232">
        <v>0</v>
      </c>
    </row>
    <row r="13" spans="2:29" ht="15.75" thickBot="1" x14ac:dyDescent="0.3">
      <c r="B13" s="218">
        <f t="shared" si="2"/>
        <v>10</v>
      </c>
      <c r="G13" s="218">
        <f t="shared" si="3"/>
        <v>10</v>
      </c>
      <c r="O13" s="220">
        <f t="shared" si="1"/>
        <v>110000000</v>
      </c>
      <c r="AB13" s="231" t="s">
        <v>72</v>
      </c>
      <c r="AC13" s="232">
        <v>0</v>
      </c>
    </row>
    <row r="14" spans="2:29" ht="15.75" thickBot="1" x14ac:dyDescent="0.3">
      <c r="B14" s="218">
        <f t="shared" si="2"/>
        <v>11</v>
      </c>
      <c r="G14" s="218">
        <f t="shared" si="3"/>
        <v>11</v>
      </c>
      <c r="O14" s="220">
        <f t="shared" si="1"/>
        <v>120000000</v>
      </c>
      <c r="AB14" s="231" t="s">
        <v>73</v>
      </c>
      <c r="AC14" s="232">
        <v>25000000</v>
      </c>
    </row>
    <row r="15" spans="2:29" ht="15.75" thickBot="1" x14ac:dyDescent="0.3">
      <c r="B15" s="218">
        <f t="shared" si="2"/>
        <v>12</v>
      </c>
      <c r="G15" s="218">
        <f t="shared" si="3"/>
        <v>12</v>
      </c>
      <c r="O15" s="220">
        <f t="shared" si="1"/>
        <v>130000000</v>
      </c>
      <c r="AB15" s="231" t="s">
        <v>74</v>
      </c>
      <c r="AC15" s="232">
        <v>25000000</v>
      </c>
    </row>
    <row r="16" spans="2:29" ht="15.75" thickBot="1" x14ac:dyDescent="0.3">
      <c r="B16" s="218">
        <f t="shared" si="2"/>
        <v>13</v>
      </c>
      <c r="G16" s="218">
        <f t="shared" si="3"/>
        <v>13</v>
      </c>
      <c r="L16" s="220">
        <v>810000000</v>
      </c>
      <c r="M16" s="218">
        <v>100</v>
      </c>
      <c r="O16" s="220">
        <f t="shared" si="1"/>
        <v>140000000</v>
      </c>
      <c r="AB16" s="231" t="s">
        <v>75</v>
      </c>
      <c r="AC16" s="232">
        <v>42500000</v>
      </c>
    </row>
    <row r="17" spans="2:42" ht="15.75" thickBot="1" x14ac:dyDescent="0.3">
      <c r="B17" s="218">
        <f t="shared" si="2"/>
        <v>14</v>
      </c>
      <c r="G17" s="218">
        <f t="shared" si="3"/>
        <v>14</v>
      </c>
      <c r="L17" s="220">
        <v>75000000</v>
      </c>
      <c r="M17" s="218">
        <f>L17*M16/L16</f>
        <v>9.2592592592592595</v>
      </c>
      <c r="O17" s="220">
        <f t="shared" si="1"/>
        <v>150000000</v>
      </c>
      <c r="AB17" s="231" t="s">
        <v>87</v>
      </c>
      <c r="AC17" s="232">
        <v>52500000</v>
      </c>
    </row>
    <row r="18" spans="2:42" ht="15.75" thickBot="1" x14ac:dyDescent="0.3">
      <c r="B18" s="218">
        <f t="shared" si="2"/>
        <v>15</v>
      </c>
      <c r="G18" s="218">
        <f t="shared" si="3"/>
        <v>15</v>
      </c>
      <c r="O18" s="220">
        <f t="shared" si="1"/>
        <v>160000000</v>
      </c>
      <c r="AB18" s="231" t="s">
        <v>88</v>
      </c>
      <c r="AC18" s="232">
        <v>105000000</v>
      </c>
    </row>
    <row r="19" spans="2:42" ht="15.75" thickBot="1" x14ac:dyDescent="0.3">
      <c r="B19" s="218">
        <f t="shared" si="2"/>
        <v>16</v>
      </c>
      <c r="G19" s="218">
        <f t="shared" si="3"/>
        <v>16</v>
      </c>
      <c r="O19" s="220">
        <f t="shared" si="1"/>
        <v>170000000</v>
      </c>
      <c r="AB19" s="231" t="s">
        <v>125</v>
      </c>
      <c r="AC19" s="232">
        <v>157500000</v>
      </c>
    </row>
    <row r="20" spans="2:42" ht="15.75" thickBot="1" x14ac:dyDescent="0.3">
      <c r="B20" s="218">
        <f t="shared" si="2"/>
        <v>17</v>
      </c>
      <c r="G20" s="218">
        <f t="shared" si="3"/>
        <v>17</v>
      </c>
      <c r="O20" s="220">
        <f t="shared" si="1"/>
        <v>180000000</v>
      </c>
      <c r="S20" s="233" t="s">
        <v>55</v>
      </c>
      <c r="T20" s="233" t="s">
        <v>56</v>
      </c>
      <c r="U20" s="233" t="s">
        <v>57</v>
      </c>
      <c r="V20" s="233" t="s">
        <v>89</v>
      </c>
      <c r="W20" s="233" t="s">
        <v>90</v>
      </c>
      <c r="AB20" s="231" t="s">
        <v>126</v>
      </c>
      <c r="AC20" s="232">
        <v>192500000</v>
      </c>
    </row>
    <row r="21" spans="2:42" ht="15.75" thickBot="1" x14ac:dyDescent="0.3">
      <c r="B21" s="218">
        <f t="shared" si="2"/>
        <v>18</v>
      </c>
      <c r="G21" s="218">
        <f t="shared" si="3"/>
        <v>18</v>
      </c>
      <c r="O21" s="220">
        <f t="shared" si="1"/>
        <v>190000000</v>
      </c>
      <c r="AB21" s="234" t="s">
        <v>127</v>
      </c>
      <c r="AC21" s="235">
        <v>210000000</v>
      </c>
    </row>
    <row r="22" spans="2:42" x14ac:dyDescent="0.25">
      <c r="B22" s="218">
        <f t="shared" si="2"/>
        <v>19</v>
      </c>
      <c r="G22" s="218">
        <f t="shared" si="3"/>
        <v>19</v>
      </c>
      <c r="O22" s="220">
        <f t="shared" si="1"/>
        <v>200000000</v>
      </c>
      <c r="P22" s="219"/>
      <c r="Q22" s="219"/>
      <c r="R22" s="219"/>
    </row>
    <row r="23" spans="2:42" x14ac:dyDescent="0.25">
      <c r="B23" s="218">
        <f t="shared" si="2"/>
        <v>20</v>
      </c>
      <c r="G23" s="218">
        <f t="shared" si="3"/>
        <v>20</v>
      </c>
      <c r="P23" s="220"/>
      <c r="Q23" s="220"/>
      <c r="R23" s="220"/>
      <c r="S23" s="220"/>
      <c r="T23" s="220"/>
      <c r="U23" s="220"/>
      <c r="V23" s="220"/>
    </row>
    <row r="24" spans="2:42" x14ac:dyDescent="0.25">
      <c r="B24" s="218">
        <f t="shared" si="2"/>
        <v>21</v>
      </c>
      <c r="G24" s="218">
        <f t="shared" si="3"/>
        <v>21</v>
      </c>
    </row>
    <row r="25" spans="2:42" x14ac:dyDescent="0.25">
      <c r="B25" s="218">
        <f t="shared" si="2"/>
        <v>22</v>
      </c>
      <c r="G25" s="218">
        <f t="shared" si="3"/>
        <v>22</v>
      </c>
      <c r="AD25" s="236"/>
    </row>
    <row r="26" spans="2:42" x14ac:dyDescent="0.25">
      <c r="B26" s="218">
        <f t="shared" si="2"/>
        <v>23</v>
      </c>
      <c r="G26" s="218">
        <f t="shared" si="3"/>
        <v>23</v>
      </c>
    </row>
    <row r="27" spans="2:42" ht="15.75" thickBot="1" x14ac:dyDescent="0.3">
      <c r="B27" s="218">
        <f t="shared" si="2"/>
        <v>24</v>
      </c>
      <c r="G27" s="218">
        <f t="shared" si="3"/>
        <v>24</v>
      </c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</row>
    <row r="28" spans="2:42" ht="15.75" thickBot="1" x14ac:dyDescent="0.3">
      <c r="B28" s="218">
        <f t="shared" si="2"/>
        <v>25</v>
      </c>
      <c r="G28" s="218">
        <f t="shared" si="3"/>
        <v>25</v>
      </c>
      <c r="AB28" s="273" t="s">
        <v>83</v>
      </c>
      <c r="AC28" s="274"/>
    </row>
    <row r="29" spans="2:42" ht="15.75" thickBot="1" x14ac:dyDescent="0.3">
      <c r="B29" s="218">
        <f t="shared" si="2"/>
        <v>26</v>
      </c>
      <c r="G29" s="218">
        <f t="shared" si="3"/>
        <v>26</v>
      </c>
      <c r="AB29" s="231" t="s">
        <v>71</v>
      </c>
      <c r="AC29" s="232">
        <v>2957500</v>
      </c>
    </row>
    <row r="30" spans="2:42" ht="15.75" thickBot="1" x14ac:dyDescent="0.3">
      <c r="B30" s="218">
        <f t="shared" si="2"/>
        <v>27</v>
      </c>
      <c r="G30" s="218">
        <f t="shared" si="3"/>
        <v>27</v>
      </c>
      <c r="AB30" s="231" t="s">
        <v>72</v>
      </c>
      <c r="AC30" s="232">
        <v>1907500</v>
      </c>
    </row>
    <row r="31" spans="2:42" ht="15.75" thickBot="1" x14ac:dyDescent="0.3">
      <c r="B31" s="218">
        <f t="shared" si="2"/>
        <v>28</v>
      </c>
      <c r="G31" s="218">
        <f t="shared" si="3"/>
        <v>28</v>
      </c>
      <c r="AB31" s="231" t="s">
        <v>73</v>
      </c>
      <c r="AC31" s="232">
        <v>2907500</v>
      </c>
    </row>
    <row r="32" spans="2:42" ht="15.75" thickBot="1" x14ac:dyDescent="0.3">
      <c r="B32" s="218">
        <f t="shared" si="2"/>
        <v>29</v>
      </c>
      <c r="G32" s="218">
        <f t="shared" si="3"/>
        <v>29</v>
      </c>
      <c r="AB32" s="231" t="s">
        <v>74</v>
      </c>
      <c r="AC32" s="232">
        <v>1907500</v>
      </c>
    </row>
    <row r="33" spans="2:40" ht="15.75" thickBot="1" x14ac:dyDescent="0.3">
      <c r="B33" s="218">
        <f t="shared" si="2"/>
        <v>30</v>
      </c>
      <c r="G33" s="218">
        <f t="shared" si="3"/>
        <v>30</v>
      </c>
      <c r="AB33" s="231" t="s">
        <v>75</v>
      </c>
      <c r="AC33" s="232">
        <v>6407500</v>
      </c>
    </row>
    <row r="34" spans="2:40" ht="15.75" thickBot="1" x14ac:dyDescent="0.3">
      <c r="B34" s="218">
        <f t="shared" si="2"/>
        <v>31</v>
      </c>
      <c r="G34" s="218">
        <f t="shared" si="3"/>
        <v>31</v>
      </c>
      <c r="AB34" s="231" t="s">
        <v>87</v>
      </c>
      <c r="AC34" s="232">
        <v>13407500</v>
      </c>
    </row>
    <row r="35" spans="2:40" ht="15.75" thickBot="1" x14ac:dyDescent="0.3">
      <c r="B35" s="218">
        <f>B34+1</f>
        <v>32</v>
      </c>
      <c r="G35" s="218">
        <f>G34+1</f>
        <v>32</v>
      </c>
      <c r="AB35" s="231" t="s">
        <v>88</v>
      </c>
      <c r="AC35" s="232">
        <v>23907500</v>
      </c>
    </row>
    <row r="36" spans="2:40" ht="15.75" thickBot="1" x14ac:dyDescent="0.3">
      <c r="B36" s="218">
        <f t="shared" ref="B36:B52" si="5">B35+1</f>
        <v>33</v>
      </c>
      <c r="G36" s="218">
        <f t="shared" ref="G36:G52" si="6">G35+1</f>
        <v>33</v>
      </c>
      <c r="AB36" s="231" t="s">
        <v>125</v>
      </c>
      <c r="AC36" s="232">
        <v>34407500</v>
      </c>
    </row>
    <row r="37" spans="2:40" ht="15.75" thickBot="1" x14ac:dyDescent="0.3">
      <c r="B37" s="218">
        <f t="shared" si="5"/>
        <v>34</v>
      </c>
      <c r="G37" s="218">
        <f t="shared" si="6"/>
        <v>34</v>
      </c>
      <c r="AB37" s="231" t="s">
        <v>126</v>
      </c>
      <c r="AC37" s="232">
        <v>41407500</v>
      </c>
    </row>
    <row r="38" spans="2:40" ht="15.75" thickBot="1" x14ac:dyDescent="0.3">
      <c r="B38" s="218">
        <f t="shared" si="5"/>
        <v>35</v>
      </c>
      <c r="G38" s="218">
        <f t="shared" si="6"/>
        <v>35</v>
      </c>
      <c r="AB38" s="234" t="s">
        <v>127</v>
      </c>
      <c r="AC38" s="235">
        <v>44907500</v>
      </c>
    </row>
    <row r="39" spans="2:40" x14ac:dyDescent="0.25">
      <c r="B39" s="218">
        <f t="shared" si="5"/>
        <v>36</v>
      </c>
      <c r="G39" s="218">
        <f t="shared" si="6"/>
        <v>36</v>
      </c>
    </row>
    <row r="40" spans="2:40" x14ac:dyDescent="0.25">
      <c r="B40" s="218">
        <f t="shared" si="5"/>
        <v>37</v>
      </c>
      <c r="G40" s="218">
        <f t="shared" si="6"/>
        <v>37</v>
      </c>
    </row>
    <row r="41" spans="2:40" x14ac:dyDescent="0.25">
      <c r="B41" s="218">
        <f t="shared" si="5"/>
        <v>38</v>
      </c>
      <c r="G41" s="218">
        <f t="shared" si="6"/>
        <v>38</v>
      </c>
    </row>
    <row r="42" spans="2:40" x14ac:dyDescent="0.25">
      <c r="B42" s="218">
        <f t="shared" si="5"/>
        <v>39</v>
      </c>
      <c r="G42" s="218">
        <f t="shared" si="6"/>
        <v>39</v>
      </c>
    </row>
    <row r="43" spans="2:40" x14ac:dyDescent="0.25">
      <c r="B43" s="218">
        <f t="shared" si="5"/>
        <v>40</v>
      </c>
      <c r="G43" s="218">
        <f t="shared" si="6"/>
        <v>40</v>
      </c>
    </row>
    <row r="44" spans="2:40" x14ac:dyDescent="0.25">
      <c r="B44" s="218">
        <f t="shared" si="5"/>
        <v>41</v>
      </c>
      <c r="G44" s="218">
        <f t="shared" si="6"/>
        <v>41</v>
      </c>
    </row>
    <row r="45" spans="2:40" x14ac:dyDescent="0.25">
      <c r="B45" s="218">
        <f t="shared" si="5"/>
        <v>42</v>
      </c>
      <c r="G45" s="218">
        <f t="shared" si="6"/>
        <v>42</v>
      </c>
    </row>
    <row r="46" spans="2:40" ht="15.75" thickBot="1" x14ac:dyDescent="0.3">
      <c r="B46" s="218">
        <f t="shared" si="5"/>
        <v>43</v>
      </c>
      <c r="G46" s="218">
        <f t="shared" si="6"/>
        <v>43</v>
      </c>
    </row>
    <row r="47" spans="2:40" ht="15.75" thickBot="1" x14ac:dyDescent="0.3">
      <c r="B47" s="218">
        <f t="shared" si="5"/>
        <v>44</v>
      </c>
      <c r="G47" s="218">
        <f t="shared" si="6"/>
        <v>44</v>
      </c>
      <c r="AB47" s="273" t="s">
        <v>130</v>
      </c>
      <c r="AC47" s="274"/>
    </row>
    <row r="48" spans="2:40" ht="15.75" thickBot="1" x14ac:dyDescent="0.3">
      <c r="B48" s="218">
        <f t="shared" si="5"/>
        <v>45</v>
      </c>
      <c r="G48" s="218">
        <f t="shared" si="6"/>
        <v>45</v>
      </c>
      <c r="AB48" s="231" t="s">
        <v>71</v>
      </c>
      <c r="AC48" s="232">
        <v>-3987500</v>
      </c>
      <c r="AN48" s="238">
        <f>AC48+AC49</f>
        <v>-5895000</v>
      </c>
    </row>
    <row r="49" spans="2:29" ht="15.75" thickBot="1" x14ac:dyDescent="0.3">
      <c r="B49" s="218">
        <f t="shared" si="5"/>
        <v>46</v>
      </c>
      <c r="G49" s="218">
        <f t="shared" si="6"/>
        <v>46</v>
      </c>
      <c r="AB49" s="231" t="s">
        <v>72</v>
      </c>
      <c r="AC49" s="232">
        <v>-1907500</v>
      </c>
    </row>
    <row r="50" spans="2:29" ht="15.75" thickBot="1" x14ac:dyDescent="0.3">
      <c r="B50" s="218">
        <f t="shared" si="5"/>
        <v>47</v>
      </c>
      <c r="G50" s="218">
        <f t="shared" si="6"/>
        <v>47</v>
      </c>
      <c r="AB50" s="231" t="s">
        <v>73</v>
      </c>
      <c r="AC50" s="232">
        <v>2424100</v>
      </c>
    </row>
    <row r="51" spans="2:29" ht="15.75" thickBot="1" x14ac:dyDescent="0.3">
      <c r="B51" s="218">
        <f t="shared" si="5"/>
        <v>48</v>
      </c>
      <c r="G51" s="218">
        <f t="shared" si="6"/>
        <v>48</v>
      </c>
      <c r="AB51" s="231" t="s">
        <v>74</v>
      </c>
      <c r="AC51" s="232">
        <v>23092500</v>
      </c>
    </row>
    <row r="52" spans="2:29" ht="15.75" thickBot="1" x14ac:dyDescent="0.3">
      <c r="B52" s="218">
        <f t="shared" si="5"/>
        <v>49</v>
      </c>
      <c r="G52" s="218">
        <f t="shared" si="6"/>
        <v>49</v>
      </c>
      <c r="AB52" s="231" t="s">
        <v>75</v>
      </c>
      <c r="AC52" s="232">
        <v>16424100</v>
      </c>
    </row>
    <row r="53" spans="2:29" ht="15.75" thickBot="1" x14ac:dyDescent="0.3">
      <c r="AB53" s="231" t="s">
        <v>87</v>
      </c>
      <c r="AC53" s="232">
        <v>19424100</v>
      </c>
    </row>
    <row r="54" spans="2:29" ht="15.75" thickBot="1" x14ac:dyDescent="0.3">
      <c r="AB54" s="231" t="s">
        <v>88</v>
      </c>
      <c r="AC54" s="232">
        <v>61424100</v>
      </c>
    </row>
    <row r="55" spans="2:29" ht="15.75" thickBot="1" x14ac:dyDescent="0.3">
      <c r="AB55" s="231" t="s">
        <v>125</v>
      </c>
      <c r="AC55" s="232">
        <v>103424100</v>
      </c>
    </row>
    <row r="56" spans="2:29" ht="15.75" thickBot="1" x14ac:dyDescent="0.3">
      <c r="AB56" s="231" t="s">
        <v>126</v>
      </c>
      <c r="AC56" s="232">
        <v>151092500</v>
      </c>
    </row>
    <row r="57" spans="2:29" ht="15.75" thickBot="1" x14ac:dyDescent="0.3">
      <c r="AB57" s="234" t="s">
        <v>127</v>
      </c>
      <c r="AC57" s="235">
        <v>165092500</v>
      </c>
    </row>
  </sheetData>
  <mergeCells count="3">
    <mergeCell ref="AB11:AC11"/>
    <mergeCell ref="AB28:AC28"/>
    <mergeCell ref="AB47:AC47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Investment Allocation</vt:lpstr>
      <vt:lpstr>Variable Assumptions</vt:lpstr>
      <vt:lpstr>Integral</vt:lpstr>
      <vt:lpstr>Income</vt:lpstr>
      <vt:lpstr>Corporate Expenses</vt:lpstr>
      <vt:lpstr>Mining F. Expenses</vt:lpstr>
      <vt:lpstr>(not reading)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cesar vazquez estrella</dc:creator>
  <cp:lastModifiedBy>pablo cesar vazquez estrella</cp:lastModifiedBy>
  <cp:lastPrinted>2025-10-08T04:38:22Z</cp:lastPrinted>
  <dcterms:created xsi:type="dcterms:W3CDTF">2025-10-02T13:35:35Z</dcterms:created>
  <dcterms:modified xsi:type="dcterms:W3CDTF">2026-05-13T18:27:32Z</dcterms:modified>
</cp:coreProperties>
</file>